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drawings/drawing4.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5.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codeName="EstaPasta_de_trabalho" defaultThemeVersion="124226"/>
  <mc:AlternateContent xmlns:mc="http://schemas.openxmlformats.org/markup-compatibility/2006">
    <mc:Choice Requires="x15">
      <x15ac:absPath xmlns:x15ac="http://schemas.microsoft.com/office/spreadsheetml/2010/11/ac" url="C:\Users\Pedro\Desktop\PLANILHA\"/>
    </mc:Choice>
  </mc:AlternateContent>
  <xr:revisionPtr revIDLastSave="0" documentId="13_ncr:1_{B28A3D02-FBA6-4E04-9B85-91988BA2E838}" xr6:coauthVersionLast="47" xr6:coauthVersionMax="47" xr10:uidLastSave="{00000000-0000-0000-0000-000000000000}"/>
  <bookViews>
    <workbookView xWindow="-108" yWindow="-108" windowWidth="23256" windowHeight="12576" tabRatio="927" activeTab="4" xr2:uid="{00000000-000D-0000-FFFF-FFFF00000000}"/>
  </bookViews>
  <sheets>
    <sheet name="Início" sheetId="36" r:id="rId1"/>
    <sheet name="Capa" sheetId="35" r:id="rId2"/>
    <sheet name="Índice" sheetId="29" r:id="rId3"/>
    <sheet name="1-Introdução" sheetId="27" r:id="rId4"/>
    <sheet name="2-Premissas" sheetId="15" r:id="rId5"/>
    <sheet name="3-Balanço" sheetId="1" r:id="rId6"/>
    <sheet name="4-DRE" sheetId="7" r:id="rId7"/>
    <sheet name="5-FC" sheetId="8" r:id="rId8"/>
    <sheet name="6-Desempenho" sheetId="23" r:id="rId9"/>
    <sheet name="7-Cálculos" sheetId="22" r:id="rId10"/>
    <sheet name="8-Investimentos" sheetId="18" r:id="rId11"/>
    <sheet name="9-Financiamentos" sheetId="19" r:id="rId12"/>
    <sheet name="10-FCLE" sheetId="21" r:id="rId13"/>
    <sheet name="11-FCLA" sheetId="17" r:id="rId14"/>
    <sheet name="12-Analise Relativa" sheetId="25" r:id="rId15"/>
    <sheet name="13-Ciclo" sheetId="16" r:id="rId16"/>
    <sheet name="14-Gráficos" sheetId="20" r:id="rId17"/>
    <sheet name="AS" sheetId="34" r:id="rId18"/>
    <sheet name="Sensibilidade" sheetId="31" r:id="rId19"/>
  </sheets>
  <externalReferences>
    <externalReference r:id="rId20"/>
    <externalReference r:id="rId21"/>
    <externalReference r:id="rId22"/>
  </externalReferences>
  <definedNames>
    <definedName name="_xlnm.Print_Area" localSheetId="12">'10-FCLE'!$B$2:$O$30</definedName>
    <definedName name="_xlnm.Print_Area" localSheetId="13">'11-FCLA'!$B$2:$O$25</definedName>
    <definedName name="_xlnm.Print_Area" localSheetId="14">'12-Analise Relativa'!$B$2:$E$18</definedName>
    <definedName name="_xlnm.Print_Area" localSheetId="15">'13-Ciclo'!$B$5:$S$22</definedName>
    <definedName name="_xlnm.Print_Area" localSheetId="3">'1-Introdução'!$A$3:$A$40</definedName>
    <definedName name="_xlnm.Print_Area" localSheetId="4">'2-Premissas'!$B$4:$O$85</definedName>
    <definedName name="_xlnm.Print_Area" localSheetId="5">'3-Balanço'!$A$6:$Q$76</definedName>
    <definedName name="_xlnm.Print_Area" localSheetId="6">'4-DRE'!$A$2:$O$53</definedName>
    <definedName name="_xlnm.Print_Area" localSheetId="7">'5-FC'!$B$2:$O$61</definedName>
    <definedName name="_xlnm.Print_Area" localSheetId="8">'6-Desempenho'!$B$5:$Q$53</definedName>
    <definedName name="_xlnm.Print_Area" localSheetId="9">'7-Cálculos'!$B$2:$O$23</definedName>
    <definedName name="_xlnm.Print_Area" localSheetId="10">'8-Investimentos'!$B$3:$P$30</definedName>
    <definedName name="_xlnm.Print_Area" localSheetId="11">'9-Financiamentos'!$B$4:$T$34</definedName>
    <definedName name="_xlnm.Print_Area" localSheetId="17">AS!$A$1:$K$256</definedName>
    <definedName name="ARET">#REF!</definedName>
    <definedName name="AS2DocOpenMode" hidden="1">"AS2DocumentEdit"</definedName>
    <definedName name="ativo">#REF!</definedName>
    <definedName name="BALANÇOS_COMPARADOS" localSheetId="5">'3-Balanço'!$A$6:$D$76</definedName>
    <definedName name="bpap">#REF!</definedName>
    <definedName name="cc" localSheetId="12"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cc" localSheetId="3"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cc" localSheetId="5"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cc" localSheetId="8"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cc" localSheetId="17"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cc" localSheetId="0"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cc"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CONTA">[1]!Tabela4[CONTA]</definedName>
    <definedName name="DEMONSTRATIVO_DE_RESULTADOS" localSheetId="5">'3-Balanço'!#REF!</definedName>
    <definedName name="eli" hidden="1">{#N/A,#N/A,TRUE,"forside";#N/A,#N/A,TRUE,"Res_AOGT";#N/A,#N/A,TRUE,"Bal_AOGT";#N/A,#N/A,TRUE,"Kont_AOGT";#N/A,#N/A,TRUE,"Note 1-5";#N/A,#N/A,TRUE,"Note 6-9";#N/A,#N/A,TRUE,"Bal_note10-14";#N/A,#N/A,TRUE,"Note 15-16";#N/A,#N/A,TRUE,"Note 17-19";#N/A,#N/A,TRUE,"Note 19 forts.";#N/A,#N/A,TRUE,"Note 20-23";#N/A,#N/A,TRUE,"Nøkkeltall"}</definedName>
    <definedName name="EV__LASTREFTIME__" hidden="1">39276.4462615741</definedName>
    <definedName name="Invest">[2]Cenario!$B$2</definedName>
    <definedName name="Investimento_Inicial">[2]AC!$B$3</definedName>
    <definedName name="nots1">'[3]Note 4-10'!#REF!</definedName>
    <definedName name="passivo">#REF!</definedName>
    <definedName name="Perc._VB_que_corr._a_CV">[2]AC!$B$7</definedName>
    <definedName name="Preço_Ano1">[2]Cenario!$C$13</definedName>
    <definedName name="Preço_Ano2">[2]Cenario!$D$13</definedName>
    <definedName name="Preço_Ano3">[2]Cenario!$E$13</definedName>
    <definedName name="Preço_Ano4">[2]Cenario!$F$13</definedName>
    <definedName name="Preço_Ano5">[2]Cenario!$G$13</definedName>
    <definedName name="side1">'[3]Note 4-10'!#REF!</definedName>
    <definedName name="TEST">#REF!</definedName>
    <definedName name="testa"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TIPO">[1]!Tabela3[TIPO]</definedName>
    <definedName name="TIR">[2]AC!$C$30</definedName>
    <definedName name="_xlnm.Print_Titles" localSheetId="4">'2-Premissas'!$2:$3</definedName>
    <definedName name="_xlnm.Print_Titles" localSheetId="5">'3-Balanço'!$2:$5</definedName>
    <definedName name="_xlnm.Print_Titles" localSheetId="8">'6-Desempenho'!$2:$4</definedName>
    <definedName name="Vendas_Brutas_Ano_1">[2]AC!$C$15</definedName>
    <definedName name="Vendas_Brutas_Ano_2">[2]AC!$D$15</definedName>
    <definedName name="Vendas_Brutas_Ano_3">[2]AC!$E$15</definedName>
    <definedName name="Vendas_Brutas_Ano_4">[2]AC!$F$15</definedName>
    <definedName name="Vendas_Brutas_Ano_5">[2]AC!$G$15</definedName>
    <definedName name="VPL">[2]AC!$C$29</definedName>
    <definedName name="wrn.akerr"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wrn.AkerRGI96."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wrn.ALLE._.ÅRSKJEMAER."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wrn.ANNUAL._.ACCOUNTS._.FORM." hidden="1">{#N/A,#N/A,FALSE,"FORM 6.1 ";#N/A,#N/A,FALSE,"FORM 6.2";#N/A,#N/A,FALSE,"FORM 6.3";#N/A,#N/A,FALSE,"FORM 6.4";#N/A,#N/A,FALSE,"FORM 6.5";#N/A,#N/A,FALSE,"FORM 6.6 ";#N/A,#N/A,FALSE,"FORM 6.7 ";#N/A,#N/A,FALSE,"FORM 6.8 ";#N/A,#N/A,FALSE,"FORM 6.9";#N/A,#N/A,FALSE,"FORM 6.10 ";#N/A,#N/A,FALSE,"FORM 6.11 ";#N/A,#N/A,FALSE,"FORM 6.12 ";#N/A,#N/A,FALSE,"FORM 6.13 ";#N/A,#N/A,FALSE,"FORM 6.14";#N/A,#N/A,FALSE,"FORM 6.15 ";#N/A,#N/A,FALSE,"FORM 6.16 ";#N/A,#N/A,FALSE,"FORM 6.17 ";#N/A,#N/A,FALSE,"FORM 6.18 ";#N/A,#N/A,FALSE,"FORM 6.19 ";#N/A,#N/A,FALSE,"FORM 6.20 ";#N/A,#N/A,FALSE,"FORM 6.21";#N/A,#N/A,FALSE,"FORM 6.22 ";#N/A,#N/A,FALSE,"FORM 6.23 ";#N/A,#N/A,FALSE,"FORM 6.24 ";#N/A,#N/A,FALSE,"FORM 6.25";#N/A,#N/A,FALSE,"FORM 6.26 ";#N/A,#N/A,FALSE,"FORM 6.27";#N/A,#N/A,FALSE,"FORM 6.28 ";#N/A,#N/A,FALSE,"FORM 6.29";#N/A,#N/A,FALSE,"FORM 6.30";#N/A,#N/A,FALSE,"FORM 6.31"}</definedName>
    <definedName name="wrn.aogt." hidden="1">{#N/A,#N/A,FALSE,"Res_Albatross";#N/A,#N/A,FALSE,"Bal_Albatross";#N/A,#N/A,FALSE,"Kont_Albatross";#N/A,#N/A,FALSE,"Note 1-5";#N/A,#N/A,FALSE,"Note 6-9";#N/A,#N/A,FALSE,"Bal_note10-14";#N/A,#N/A,FALSE,"Note 15-16";#N/A,#N/A,FALSE,"Note 17-19";#N/A,#N/A,FALSE,"Note 20-23";#N/A,#N/A,FALSE,"Nøkkeltall"}</definedName>
    <definedName name="wrn.ddd" hidden="1">{#N/A,#N/A,TRUE,"forside";#N/A,#N/A,TRUE,"Res_AOGT";#N/A,#N/A,TRUE,"Bal_AOGT";#N/A,#N/A,TRUE,"Kont_AOGT";#N/A,#N/A,TRUE,"Note 1-5";#N/A,#N/A,TRUE,"Note 6-9";#N/A,#N/A,TRUE,"Bal_note10-14";#N/A,#N/A,TRUE,"Note 15-16";#N/A,#N/A,TRUE,"Note 17-19";#N/A,#N/A,TRUE,"Note 19 forts.";#N/A,#N/A,TRUE,"Note 20-23";#N/A,#N/A,TRUE,"Nøkkeltall"}</definedName>
    <definedName name="wrn.EKSKL.._.PM._.FORM." hidden="1">{#N/A,#N/A,TRUE,"Skjema 6.18 ";#N/A,#N/A,TRUE,"Skjema 6.19 ";#N/A,#N/A,TRUE,"Skjema 6.20 ";#N/A,#N/A,TRUE,"Skjema 6.21";#N/A,#N/A,TRUE,"Skjema 6.22 ";#N/A,#N/A,TRUE,"Skjema 6.23 ";#N/A,#N/A,TRUE,"Skjema 6.24 ";#N/A,#N/A,TRUE,"Skjema 6.25";#N/A,#N/A,TRUE,"Skjema 6.26 ";#N/A,#N/A,TRUE,"Skjema 6.27";#N/A,#N/A,TRUE,"Skjema 6.28 ";#N/A,#N/A,TRUE,"Skjema 6.29";#N/A,#N/A,TRUE,"Skjema 6.30"}</definedName>
    <definedName name="wrn.EKSKL.._.PM._.SKJEMAER." hidden="1">{#N/A,#N/A,TRUE,"Skjema 6.5";#N/A,#N/A,TRUE,"Skjema 6.18 ";#N/A,#N/A,TRUE,"Skjema 6.19 ";#N/A,#N/A,TRUE,"Skjema 6.20 ";#N/A,#N/A,TRUE,"Skjema 6.21";#N/A,#N/A,TRUE,"Skjema 6.22 ";#N/A,#N/A,TRUE,"Skjema 6.23 ";#N/A,#N/A,TRUE,"Skjema 6.24 ";#N/A,#N/A,TRUE,"Skjema 6.25";#N/A,#N/A,TRUE,"Skjema 6.26 ";#N/A,#N/A,TRUE,"Skjema 6.27";#N/A,#N/A,TRUE,"Skjema 6.28 ";#N/A,#N/A,TRUE,"Skjema 6.29";#N/A,#N/A,TRUE,"Skjema 6.30";#N/A,#N/A,TRUE,"Skjema 6.31b"}</definedName>
    <definedName name="wrn.fff" hidden="1">{#N/A,#N/A,FALSE,"Res.regn.Aker a.s";#N/A,#N/A,FALSE,"Balanse3112.Aker a.s";#N/A,#N/A,FALSE,"Kont.anal.Aker a.s ";#N/A,#N/A,FALSE,"Noter 1-2.Aker a.s";#N/A,#N/A,FALSE,"Noter 3-7.Aker a.s";#N/A,#N/A,FALSE,"Rev.beretning 95"}</definedName>
    <definedName name="wrn.ffg" hidden="1">{#N/A,#N/A,FALSE,"REGNSKAPSUTDRAG DIVISJON";#N/A,#N/A,FALSE,"Nøkkeltall"}</definedName>
    <definedName name="wrn.gleachår." hidden="1">{#N/A,#N/A,TRUE,"forside";#N/A,#N/A,TRUE,"Res_AOGT";#N/A,#N/A,TRUE,"Bal_AOGT";#N/A,#N/A,TRUE,"Kont_AOGT";#N/A,#N/A,TRUE,"Note 1-5";#N/A,#N/A,TRUE,"Note 6-9";#N/A,#N/A,TRUE,"Bal_note10-14";#N/A,#N/A,TRUE,"Note 15-16";#N/A,#N/A,TRUE,"Note 17-19";#N/A,#N/A,TRUE,"Note 19 forts.";#N/A,#N/A,TRUE,"Note 20-23";#N/A,#N/A,TRUE,"Nøkkeltall"}</definedName>
    <definedName name="wrn.holding." hidden="1">{#N/A,#N/A,FALSE,"forside";#N/A,#N/A,FALSE,"ResRegn.A-kons.";#N/A,#N/A,FALSE,"Bal3112.A-kons.";#N/A,#N/A,FALSE,"Kont.a.A-kons.";#N/A,#N/A,FALSE,"Note 4-10";#N/A,#N/A,FALSE,"Noter Balanse.A-kons.";#N/A,#N/A,FALSE,"Note 17-18.A-kons. ";#N/A,#N/A,FALSE,"Note 20-22.A-kons.";#N/A,#N/A,FALSE,"Note 23 A-kons.";#N/A,#N/A,FALSE,"Note 24-31.A-kons.";#N/A,#N/A,FALSE,"Nøkkeltall"}</definedName>
    <definedName name="wrn.INT.._.MELLOMV." hidden="1">{#N/A,#N/A,FALSE,"Skjema 6.5"}</definedName>
    <definedName name="wrn.Proforma._.1." hidden="1">{"side1",#N/A,FALSE,"ResRegn.A-kons.";"Side2",#N/A,FALSE,"Bal3112.A-kons."}</definedName>
    <definedName name="wrn.reg"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wrn.Regn95.xls."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wrn.RegnAker.xls." hidden="1">{#N/A,#N/A,FALSE,"Res.regn.Aker a.s";#N/A,#N/A,FALSE,"Balanse3112.Aker a.s";#N/A,#N/A,FALSE,"Kont.anal.Aker a.s ";#N/A,#N/A,FALSE,"Noter 1-2.Aker a.s";#N/A,#N/A,FALSE,"Noter 3-7.Aker a.s";#N/A,#N/A,FALSE,"Rev.beretning 95"}</definedName>
    <definedName name="wrn.test" hidden="1">{"test",#N/A,FALSE,"ResRegn.A-kons.";"test",#N/A,FALSE,"Note11-12";"test1",#N/A,FALSE,"Note11-12"}</definedName>
    <definedName name="wrn.test2." hidden="1">{"test",#N/A,FALSE,"ResRegn.A-kons.";"test",#N/A,FALSE,"Note11-12";"test1",#N/A,FALSE,"Note11-12"}</definedName>
    <definedName name="wrn.Utdr_div.xls." hidden="1">{#N/A,#N/A,FALSE,"REGNSKAPSUTDRAG DIVISJON";#N/A,#N/A,FALSE,"Nøkkeltall"}</definedName>
    <definedName name="wrn.uuu" hidden="1">{"side1",#N/A,FALSE,"ResRegn.A-kons.";"Side2",#N/A,FALSE,"Bal3112.A-kons."}</definedName>
    <definedName name="xx" localSheetId="12" hidden="1">{#N/A,#N/A,FALSE,"Skjema 6.5"}</definedName>
    <definedName name="xx" localSheetId="3" hidden="1">{#N/A,#N/A,FALSE,"Skjema 6.5"}</definedName>
    <definedName name="xx" localSheetId="5" hidden="1">{#N/A,#N/A,FALSE,"Skjema 6.5"}</definedName>
    <definedName name="xx" localSheetId="8" hidden="1">{#N/A,#N/A,FALSE,"Skjema 6.5"}</definedName>
    <definedName name="xx" localSheetId="17" hidden="1">{#N/A,#N/A,FALSE,"Skjema 6.5"}</definedName>
    <definedName name="xx" localSheetId="0" hidden="1">{#N/A,#N/A,FALSE,"Skjema 6.5"}</definedName>
    <definedName name="xx" hidden="1">{#N/A,#N/A,FALSE,"Skjema 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 i="1" l="1"/>
  <c r="E5" i="1" s="1"/>
  <c r="F5" i="1" s="1"/>
  <c r="G5" i="1" s="1"/>
  <c r="H5" i="1" s="1"/>
  <c r="I5" i="1" s="1"/>
  <c r="J5" i="1" s="1"/>
  <c r="K5" i="1" s="1"/>
  <c r="L5" i="1" s="1"/>
  <c r="M5" i="1" s="1"/>
  <c r="N5" i="1" s="1"/>
  <c r="O5" i="1" s="1"/>
  <c r="P5" i="1" s="1"/>
  <c r="Q5" i="1" s="1"/>
  <c r="O5" i="8" s="1"/>
  <c r="I43" i="36"/>
  <c r="J43" i="36" s="1"/>
  <c r="L12" i="36"/>
  <c r="J12" i="36"/>
  <c r="L9" i="36"/>
  <c r="J9" i="36"/>
  <c r="H9" i="36"/>
  <c r="P4" i="23" l="1"/>
  <c r="L4" i="23"/>
  <c r="H4" i="23"/>
  <c r="C4" i="22"/>
  <c r="M4" i="22"/>
  <c r="I4" i="22"/>
  <c r="E4" i="22"/>
  <c r="N5" i="18"/>
  <c r="J5" i="18"/>
  <c r="F5" i="18"/>
  <c r="O4" i="19"/>
  <c r="P4" i="19" s="1"/>
  <c r="Q4" i="19" s="1"/>
  <c r="R4" i="19" s="1"/>
  <c r="S4" i="19" s="1"/>
  <c r="K4" i="19"/>
  <c r="G4" i="19"/>
  <c r="O4" i="21"/>
  <c r="K4" i="21"/>
  <c r="G4" i="21"/>
  <c r="C4" i="17"/>
  <c r="L4" i="17"/>
  <c r="H4" i="17"/>
  <c r="D4" i="17"/>
  <c r="Q5" i="16"/>
  <c r="M5" i="16"/>
  <c r="I5" i="16"/>
  <c r="O3" i="15"/>
  <c r="K3" i="15"/>
  <c r="G3" i="15"/>
  <c r="O4" i="23"/>
  <c r="K4" i="23"/>
  <c r="G4" i="23"/>
  <c r="P4" i="22"/>
  <c r="L4" i="22"/>
  <c r="H4" i="22"/>
  <c r="D4" i="22"/>
  <c r="M5" i="18"/>
  <c r="I5" i="18"/>
  <c r="E5" i="18"/>
  <c r="N4" i="19"/>
  <c r="J4" i="19"/>
  <c r="F4" i="19"/>
  <c r="N4" i="21"/>
  <c r="J4" i="21"/>
  <c r="F4" i="21"/>
  <c r="O4" i="17"/>
  <c r="K4" i="17"/>
  <c r="G4" i="17"/>
  <c r="F5" i="16"/>
  <c r="P5" i="16"/>
  <c r="L5" i="16"/>
  <c r="H5" i="16"/>
  <c r="N3" i="15"/>
  <c r="J3" i="15"/>
  <c r="F3" i="15"/>
  <c r="D4" i="23"/>
  <c r="N4" i="23"/>
  <c r="J4" i="23"/>
  <c r="F4" i="23"/>
  <c r="O4" i="22"/>
  <c r="K4" i="22"/>
  <c r="G4" i="22"/>
  <c r="C5" i="18"/>
  <c r="L5" i="18"/>
  <c r="H5" i="18"/>
  <c r="D5" i="18"/>
  <c r="M4" i="19"/>
  <c r="I4" i="19"/>
  <c r="E4" i="19"/>
  <c r="M4" i="21"/>
  <c r="I4" i="21"/>
  <c r="E4" i="21"/>
  <c r="N4" i="17"/>
  <c r="J4" i="17"/>
  <c r="F4" i="17"/>
  <c r="S5" i="16"/>
  <c r="O5" i="16"/>
  <c r="K5" i="16"/>
  <c r="G5" i="16"/>
  <c r="M3" i="15"/>
  <c r="I3" i="15"/>
  <c r="E3" i="15"/>
  <c r="Q4" i="23"/>
  <c r="M4" i="23"/>
  <c r="I4" i="23"/>
  <c r="E4" i="23"/>
  <c r="N4" i="22"/>
  <c r="J4" i="22"/>
  <c r="F4" i="22"/>
  <c r="O5" i="18"/>
  <c r="K5" i="18"/>
  <c r="G5" i="18"/>
  <c r="C4" i="19"/>
  <c r="L4" i="19"/>
  <c r="H4" i="19"/>
  <c r="D4" i="19"/>
  <c r="C4" i="21"/>
  <c r="L4" i="21"/>
  <c r="H4" i="21"/>
  <c r="D4" i="21"/>
  <c r="M4" i="17"/>
  <c r="I4" i="17"/>
  <c r="E4" i="17"/>
  <c r="R5" i="16"/>
  <c r="N5" i="16"/>
  <c r="J5" i="16"/>
  <c r="C3" i="15"/>
  <c r="L3" i="15"/>
  <c r="H3" i="15"/>
  <c r="D3" i="15"/>
  <c r="M5" i="7"/>
  <c r="H5" i="7"/>
  <c r="C5" i="8"/>
  <c r="J5" i="8"/>
  <c r="E5" i="8"/>
  <c r="B5" i="7"/>
  <c r="L5" i="7"/>
  <c r="G5" i="7"/>
  <c r="N5" i="8"/>
  <c r="I5" i="8"/>
  <c r="D5" i="8"/>
  <c r="O5" i="7"/>
  <c r="I5" i="7"/>
  <c r="D5" i="7"/>
  <c r="L5" i="8"/>
  <c r="F5" i="8"/>
  <c r="C5" i="7"/>
  <c r="K5" i="7"/>
  <c r="E5" i="7"/>
  <c r="M5" i="8"/>
  <c r="H5" i="8"/>
  <c r="N5" i="7"/>
  <c r="J5" i="7"/>
  <c r="F5" i="7"/>
  <c r="K5" i="8"/>
  <c r="G5" i="8"/>
  <c r="L10" i="36"/>
  <c r="K43" i="36"/>
  <c r="L43" i="36" s="1"/>
  <c r="M43" i="36" s="1"/>
  <c r="N43" i="36" s="1"/>
  <c r="O43" i="36" s="1"/>
  <c r="U43" i="36" s="1"/>
  <c r="V43" i="36" s="1"/>
  <c r="W43" i="36" s="1"/>
  <c r="X43" i="36" s="1"/>
  <c r="Y43" i="36" s="1"/>
  <c r="Z43" i="36" s="1"/>
  <c r="AA43" i="36" s="1"/>
  <c r="G8" i="34" l="1"/>
  <c r="G7" i="34" s="1"/>
  <c r="I8" i="34"/>
  <c r="I7" i="34" s="1"/>
  <c r="H8" i="34"/>
  <c r="H7" i="34" s="1"/>
  <c r="B14" i="7"/>
  <c r="B22" i="7" s="1"/>
  <c r="D46" i="23" s="1"/>
  <c r="C24" i="7"/>
  <c r="C25" i="7"/>
  <c r="C26" i="7"/>
  <c r="C27" i="7"/>
  <c r="C31" i="7"/>
  <c r="C32" i="7"/>
  <c r="C33" i="7"/>
  <c r="C34" i="7"/>
  <c r="C36" i="7"/>
  <c r="C7" i="21" s="1"/>
  <c r="C30" i="18"/>
  <c r="B28" i="7"/>
  <c r="F19" i="16" s="1"/>
  <c r="F9" i="16" s="1"/>
  <c r="C49" i="15" s="1"/>
  <c r="C8" i="7"/>
  <c r="C9" i="7"/>
  <c r="D9" i="7" s="1"/>
  <c r="E9" i="7" s="1"/>
  <c r="F9" i="7" s="1"/>
  <c r="G9" i="7" s="1"/>
  <c r="C10" i="7"/>
  <c r="C11" i="7"/>
  <c r="C12" i="7"/>
  <c r="C13" i="7"/>
  <c r="D13" i="7" s="1"/>
  <c r="C16" i="7"/>
  <c r="C17" i="7"/>
  <c r="D17" i="7" s="1"/>
  <c r="E17" i="7" s="1"/>
  <c r="F17" i="7" s="1"/>
  <c r="G17" i="7" s="1"/>
  <c r="C18" i="7"/>
  <c r="D18" i="7" s="1"/>
  <c r="E18" i="7" s="1"/>
  <c r="F18" i="7" s="1"/>
  <c r="G18" i="7" s="1"/>
  <c r="F20" i="16"/>
  <c r="G21" i="16" s="1"/>
  <c r="E44" i="1"/>
  <c r="C16" i="8" s="1"/>
  <c r="C17" i="21"/>
  <c r="C19" i="21"/>
  <c r="C38" i="7"/>
  <c r="H63" i="34"/>
  <c r="I63" i="34" s="1"/>
  <c r="H62" i="34"/>
  <c r="I62" i="34" s="1"/>
  <c r="E18" i="34"/>
  <c r="E118" i="34" s="1"/>
  <c r="E30" i="34"/>
  <c r="E87" i="34"/>
  <c r="E110" i="34"/>
  <c r="E142" i="34"/>
  <c r="E166" i="34"/>
  <c r="E199" i="34"/>
  <c r="I18" i="34"/>
  <c r="F71" i="34" s="1"/>
  <c r="I30" i="34"/>
  <c r="F69" i="34" s="1"/>
  <c r="F99" i="34"/>
  <c r="F118" i="34"/>
  <c r="F145" i="34"/>
  <c r="F161" i="34"/>
  <c r="F187" i="34"/>
  <c r="F203" i="34"/>
  <c r="C18" i="34"/>
  <c r="C30" i="34"/>
  <c r="D133" i="34" s="1"/>
  <c r="D69" i="34"/>
  <c r="D123" i="34"/>
  <c r="D169" i="34"/>
  <c r="D189" i="34"/>
  <c r="E7" i="22"/>
  <c r="E8" i="22" s="1"/>
  <c r="J7" i="34"/>
  <c r="D9" i="22"/>
  <c r="E9" i="22" s="1"/>
  <c r="G18" i="34"/>
  <c r="C19" i="34"/>
  <c r="E19" i="34"/>
  <c r="I19" i="34"/>
  <c r="G19" i="34"/>
  <c r="C20" i="34"/>
  <c r="E20" i="34"/>
  <c r="I20" i="34"/>
  <c r="G20" i="34"/>
  <c r="C21" i="34"/>
  <c r="E21" i="34"/>
  <c r="I21" i="34"/>
  <c r="G21" i="34"/>
  <c r="C22" i="34"/>
  <c r="E22" i="34"/>
  <c r="I22" i="34"/>
  <c r="G22" i="34"/>
  <c r="C23" i="34"/>
  <c r="E23" i="34"/>
  <c r="I23" i="34"/>
  <c r="G23" i="34"/>
  <c r="C25" i="34"/>
  <c r="E25" i="34"/>
  <c r="I25" i="34"/>
  <c r="G25" i="34"/>
  <c r="C26" i="34"/>
  <c r="E26" i="34"/>
  <c r="I26" i="34"/>
  <c r="G26" i="34"/>
  <c r="C27" i="34"/>
  <c r="E27" i="34"/>
  <c r="I27" i="34"/>
  <c r="G27" i="34"/>
  <c r="C28" i="34"/>
  <c r="E28" i="34"/>
  <c r="I28" i="34"/>
  <c r="G28" i="34"/>
  <c r="C29" i="34"/>
  <c r="E29" i="34"/>
  <c r="I29" i="34"/>
  <c r="G29" i="34"/>
  <c r="G30" i="34"/>
  <c r="C22" i="8"/>
  <c r="C23" i="8"/>
  <c r="C24" i="8"/>
  <c r="C25" i="8"/>
  <c r="C26" i="8"/>
  <c r="C28" i="8"/>
  <c r="C30" i="8"/>
  <c r="C31" i="8"/>
  <c r="C32" i="8"/>
  <c r="C33" i="8"/>
  <c r="C34" i="8"/>
  <c r="C38" i="8"/>
  <c r="C39" i="8"/>
  <c r="C42" i="8"/>
  <c r="C44" i="8"/>
  <c r="E54" i="1"/>
  <c r="C47" i="8"/>
  <c r="C48" i="8"/>
  <c r="C49" i="8"/>
  <c r="C50" i="8"/>
  <c r="B47" i="7"/>
  <c r="C52" i="8"/>
  <c r="C54" i="8"/>
  <c r="C55" i="8"/>
  <c r="C60" i="8"/>
  <c r="D22" i="8"/>
  <c r="D23" i="8"/>
  <c r="D24" i="8"/>
  <c r="D25" i="8"/>
  <c r="D28" i="8"/>
  <c r="D30" i="8"/>
  <c r="D31" i="8"/>
  <c r="D32" i="8"/>
  <c r="D33" i="8"/>
  <c r="D34" i="8"/>
  <c r="D38" i="8"/>
  <c r="D39" i="8"/>
  <c r="D42" i="8"/>
  <c r="D44" i="8"/>
  <c r="D47" i="8"/>
  <c r="D48" i="8"/>
  <c r="D49" i="8"/>
  <c r="D50" i="8"/>
  <c r="D52" i="8"/>
  <c r="D54" i="8"/>
  <c r="D55" i="8"/>
  <c r="E22" i="8"/>
  <c r="E23" i="8"/>
  <c r="E24" i="8"/>
  <c r="E25" i="8"/>
  <c r="E28" i="8"/>
  <c r="E30" i="8"/>
  <c r="E31" i="8"/>
  <c r="E32" i="8"/>
  <c r="E33" i="8"/>
  <c r="E34" i="8"/>
  <c r="E38" i="8"/>
  <c r="E39" i="8"/>
  <c r="E42" i="8"/>
  <c r="E44" i="8"/>
  <c r="E47" i="8"/>
  <c r="E48" i="8"/>
  <c r="E49" i="8"/>
  <c r="E50" i="8"/>
  <c r="E52" i="8"/>
  <c r="E54" i="8"/>
  <c r="E55" i="8"/>
  <c r="F22" i="8"/>
  <c r="F23" i="8"/>
  <c r="F24" i="8"/>
  <c r="F25" i="8"/>
  <c r="F28" i="8"/>
  <c r="F30" i="8"/>
  <c r="F31" i="8"/>
  <c r="F32" i="8"/>
  <c r="F33" i="8"/>
  <c r="F34" i="8"/>
  <c r="F38" i="8"/>
  <c r="F39" i="8"/>
  <c r="F42" i="8"/>
  <c r="F44" i="8"/>
  <c r="F47" i="8"/>
  <c r="F48" i="8"/>
  <c r="F49" i="8"/>
  <c r="F50" i="8"/>
  <c r="F52" i="8"/>
  <c r="F54" i="8"/>
  <c r="F55" i="8"/>
  <c r="G22" i="8"/>
  <c r="G23" i="8"/>
  <c r="G24" i="8"/>
  <c r="G25" i="8"/>
  <c r="G28" i="8"/>
  <c r="G30" i="8"/>
  <c r="G31" i="8"/>
  <c r="G32" i="8"/>
  <c r="G33" i="8"/>
  <c r="G34" i="8"/>
  <c r="G38" i="8"/>
  <c r="G39" i="8"/>
  <c r="G42" i="8"/>
  <c r="G44" i="8"/>
  <c r="G47" i="8"/>
  <c r="G48" i="8"/>
  <c r="G49" i="8"/>
  <c r="G50" i="8"/>
  <c r="G52" i="8"/>
  <c r="G54" i="8"/>
  <c r="G55" i="8"/>
  <c r="H22" i="8"/>
  <c r="H23" i="8"/>
  <c r="H24" i="8"/>
  <c r="H25" i="8"/>
  <c r="H28" i="8"/>
  <c r="H30" i="8"/>
  <c r="H31" i="8"/>
  <c r="H32" i="8"/>
  <c r="H33" i="8"/>
  <c r="H34" i="8"/>
  <c r="H38" i="8"/>
  <c r="H39" i="8"/>
  <c r="H42" i="8"/>
  <c r="H44" i="8"/>
  <c r="H47" i="8"/>
  <c r="H48" i="8"/>
  <c r="H49" i="8"/>
  <c r="H50" i="8"/>
  <c r="H52" i="8"/>
  <c r="H54" i="8"/>
  <c r="H55" i="8"/>
  <c r="I22" i="8"/>
  <c r="I23" i="8"/>
  <c r="I24" i="8"/>
  <c r="I25" i="8"/>
  <c r="I28" i="8"/>
  <c r="I30" i="8"/>
  <c r="I31" i="8"/>
  <c r="I32" i="8"/>
  <c r="I33" i="8"/>
  <c r="I34" i="8"/>
  <c r="I38" i="8"/>
  <c r="I39" i="8"/>
  <c r="I42" i="8"/>
  <c r="I44" i="8"/>
  <c r="I47" i="8"/>
  <c r="I48" i="8"/>
  <c r="I49" i="8"/>
  <c r="I50" i="8"/>
  <c r="I52" i="8"/>
  <c r="I54" i="8"/>
  <c r="I55" i="8"/>
  <c r="J22" i="8"/>
  <c r="J23" i="8"/>
  <c r="J24" i="8"/>
  <c r="J25" i="8"/>
  <c r="J28" i="8"/>
  <c r="J30" i="8"/>
  <c r="J31" i="8"/>
  <c r="J32" i="8"/>
  <c r="J33" i="8"/>
  <c r="J34" i="8"/>
  <c r="J38" i="8"/>
  <c r="J39" i="8"/>
  <c r="J42" i="8"/>
  <c r="J44" i="8"/>
  <c r="J47" i="8"/>
  <c r="J48" i="8"/>
  <c r="J49" i="8"/>
  <c r="J50" i="8"/>
  <c r="J52" i="8"/>
  <c r="J54" i="8"/>
  <c r="J55" i="8"/>
  <c r="K22" i="8"/>
  <c r="K23" i="8"/>
  <c r="K24" i="8"/>
  <c r="K25" i="8"/>
  <c r="K28" i="8"/>
  <c r="K30" i="8"/>
  <c r="K31" i="8"/>
  <c r="K32" i="8"/>
  <c r="K33" i="8"/>
  <c r="K34" i="8"/>
  <c r="K38" i="8"/>
  <c r="K39" i="8"/>
  <c r="K42" i="8"/>
  <c r="K44" i="8"/>
  <c r="K47" i="8"/>
  <c r="K48" i="8"/>
  <c r="K49" i="8"/>
  <c r="K50" i="8"/>
  <c r="K52" i="8"/>
  <c r="K54" i="8"/>
  <c r="K55" i="8"/>
  <c r="L22" i="8"/>
  <c r="L23" i="8"/>
  <c r="L24" i="8"/>
  <c r="L25" i="8"/>
  <c r="L28" i="8"/>
  <c r="L30" i="8"/>
  <c r="L31" i="8"/>
  <c r="L32" i="8"/>
  <c r="L33" i="8"/>
  <c r="L34" i="8"/>
  <c r="L38" i="8"/>
  <c r="L39" i="8"/>
  <c r="L42" i="8"/>
  <c r="L44" i="8"/>
  <c r="L47" i="8"/>
  <c r="L48" i="8"/>
  <c r="L49" i="8"/>
  <c r="L50" i="8"/>
  <c r="L52" i="8"/>
  <c r="L54" i="8"/>
  <c r="L55" i="8"/>
  <c r="M22" i="8"/>
  <c r="M23" i="8"/>
  <c r="M24" i="8"/>
  <c r="M25" i="8"/>
  <c r="M28" i="8"/>
  <c r="M30" i="8"/>
  <c r="M31" i="8"/>
  <c r="M32" i="8"/>
  <c r="M33" i="8"/>
  <c r="M34" i="8"/>
  <c r="M38" i="8"/>
  <c r="M39" i="8"/>
  <c r="M42" i="8"/>
  <c r="M44" i="8"/>
  <c r="M47" i="8"/>
  <c r="M48" i="8"/>
  <c r="M49" i="8"/>
  <c r="M50" i="8"/>
  <c r="M52" i="8"/>
  <c r="M54" i="8"/>
  <c r="M55" i="8"/>
  <c r="N22" i="8"/>
  <c r="N23" i="8"/>
  <c r="N24" i="8"/>
  <c r="N25" i="8"/>
  <c r="N28" i="8"/>
  <c r="N30" i="8"/>
  <c r="N31" i="8"/>
  <c r="N32" i="8"/>
  <c r="N33" i="8"/>
  <c r="N34" i="8"/>
  <c r="N38" i="8"/>
  <c r="N39" i="8"/>
  <c r="N42" i="8"/>
  <c r="N44" i="8"/>
  <c r="N47" i="8"/>
  <c r="N48" i="8"/>
  <c r="N49" i="8"/>
  <c r="N50" i="8"/>
  <c r="N52" i="8"/>
  <c r="N54" i="8"/>
  <c r="N55" i="8"/>
  <c r="F7" i="22"/>
  <c r="F8" i="22" s="1"/>
  <c r="G7" i="22"/>
  <c r="G8" i="22" s="1"/>
  <c r="H7" i="22"/>
  <c r="H8" i="22" s="1"/>
  <c r="I7" i="22"/>
  <c r="I8" i="22" s="1"/>
  <c r="J7" i="22"/>
  <c r="J8" i="22" s="1"/>
  <c r="K6" i="22"/>
  <c r="L6" i="22"/>
  <c r="C26" i="21"/>
  <c r="E78" i="15"/>
  <c r="G78" i="15" s="1"/>
  <c r="E79" i="15"/>
  <c r="G79" i="15" s="1"/>
  <c r="D11" i="16"/>
  <c r="D13" i="16" s="1"/>
  <c r="E11" i="16"/>
  <c r="E13" i="16" s="1"/>
  <c r="C22" i="16"/>
  <c r="D22" i="16"/>
  <c r="E22" i="16"/>
  <c r="F21" i="16"/>
  <c r="F22" i="16" s="1"/>
  <c r="D9" i="15"/>
  <c r="D10" i="15"/>
  <c r="D22" i="15"/>
  <c r="D23" i="15"/>
  <c r="E23" i="15" s="1"/>
  <c r="F23" i="15" s="1"/>
  <c r="G23" i="15" s="1"/>
  <c r="H23" i="15" s="1"/>
  <c r="D26" i="15"/>
  <c r="E10" i="15"/>
  <c r="F10" i="15" s="1"/>
  <c r="G10" i="15" s="1"/>
  <c r="H10" i="15" s="1"/>
  <c r="I10" i="15" s="1"/>
  <c r="J10" i="15" s="1"/>
  <c r="K10" i="15" s="1"/>
  <c r="L10" i="15" s="1"/>
  <c r="M10" i="15" s="1"/>
  <c r="N10" i="15" s="1"/>
  <c r="O10" i="15" s="1"/>
  <c r="E22" i="15"/>
  <c r="F22" i="15" s="1"/>
  <c r="G22" i="15" s="1"/>
  <c r="H22" i="15" s="1"/>
  <c r="I22" i="15" s="1"/>
  <c r="J22" i="15" s="1"/>
  <c r="K22" i="15" s="1"/>
  <c r="L22" i="15" s="1"/>
  <c r="M22" i="15" s="1"/>
  <c r="N22" i="15" s="1"/>
  <c r="O22" i="15" s="1"/>
  <c r="E24" i="15"/>
  <c r="F24" i="15" s="1"/>
  <c r="E26" i="15"/>
  <c r="F26" i="15" s="1"/>
  <c r="D34" i="15"/>
  <c r="D35" i="15"/>
  <c r="D25" i="7" s="1"/>
  <c r="D36" i="15"/>
  <c r="D26" i="7" s="1"/>
  <c r="D37" i="15"/>
  <c r="E34" i="15"/>
  <c r="F34" i="15" s="1"/>
  <c r="G34" i="15" s="1"/>
  <c r="H34" i="15" s="1"/>
  <c r="I34" i="15" s="1"/>
  <c r="J34" i="15" s="1"/>
  <c r="K34" i="15" s="1"/>
  <c r="L34" i="15" s="1"/>
  <c r="M34" i="15" s="1"/>
  <c r="N34" i="15" s="1"/>
  <c r="O34" i="15" s="1"/>
  <c r="E35" i="15"/>
  <c r="E36" i="15"/>
  <c r="E37" i="15"/>
  <c r="F37" i="15" s="1"/>
  <c r="D53" i="15"/>
  <c r="F35" i="15"/>
  <c r="G35" i="15" s="1"/>
  <c r="H35" i="15" s="1"/>
  <c r="I35" i="15" s="1"/>
  <c r="J35" i="15" s="1"/>
  <c r="K35" i="15" s="1"/>
  <c r="L35" i="15" s="1"/>
  <c r="M35" i="15" s="1"/>
  <c r="N35" i="15" s="1"/>
  <c r="O35" i="15" s="1"/>
  <c r="F36" i="15"/>
  <c r="G36" i="15" s="1"/>
  <c r="H36" i="15" s="1"/>
  <c r="I36" i="15" s="1"/>
  <c r="J36" i="15" s="1"/>
  <c r="K36" i="15" s="1"/>
  <c r="L36" i="15" s="1"/>
  <c r="M36" i="15" s="1"/>
  <c r="N36" i="15" s="1"/>
  <c r="O36" i="15" s="1"/>
  <c r="C10" i="19"/>
  <c r="C17" i="19"/>
  <c r="C32" i="19"/>
  <c r="C11" i="17" s="1"/>
  <c r="D10" i="19"/>
  <c r="D32" i="19"/>
  <c r="E46" i="1" s="1"/>
  <c r="E10" i="19"/>
  <c r="E32" i="19"/>
  <c r="F10" i="19"/>
  <c r="F10" i="17" s="1"/>
  <c r="F18" i="19"/>
  <c r="F32" i="19" s="1"/>
  <c r="G10" i="19"/>
  <c r="G18" i="19"/>
  <c r="G32" i="19" s="1"/>
  <c r="H46" i="1" s="1"/>
  <c r="G19" i="19"/>
  <c r="H10" i="19"/>
  <c r="H68" i="15" s="1"/>
  <c r="H18" i="19"/>
  <c r="H19" i="19"/>
  <c r="H20" i="19"/>
  <c r="I10" i="19"/>
  <c r="I68" i="15" s="1"/>
  <c r="I18" i="19"/>
  <c r="I19" i="19"/>
  <c r="I32" i="19" s="1"/>
  <c r="I20" i="19"/>
  <c r="I21" i="19"/>
  <c r="J10" i="19"/>
  <c r="J68" i="15" s="1"/>
  <c r="J18" i="19"/>
  <c r="J19" i="19"/>
  <c r="J20" i="19"/>
  <c r="J21" i="19"/>
  <c r="J22" i="19"/>
  <c r="K10" i="19"/>
  <c r="K68" i="15" s="1"/>
  <c r="K19" i="19"/>
  <c r="K20" i="19"/>
  <c r="K21" i="19"/>
  <c r="T21" i="19" s="1"/>
  <c r="K22" i="19"/>
  <c r="K23" i="19"/>
  <c r="L10" i="19"/>
  <c r="L68" i="15" s="1"/>
  <c r="L20" i="19"/>
  <c r="L21" i="19"/>
  <c r="L22" i="19"/>
  <c r="L23" i="19"/>
  <c r="L24" i="19"/>
  <c r="M10" i="19"/>
  <c r="M68" i="15" s="1"/>
  <c r="M21" i="19"/>
  <c r="M22" i="19"/>
  <c r="M23" i="19"/>
  <c r="M32" i="19" s="1"/>
  <c r="M24" i="19"/>
  <c r="M25" i="19"/>
  <c r="N10" i="19"/>
  <c r="N10" i="17" s="1"/>
  <c r="N22" i="19"/>
  <c r="N23" i="19"/>
  <c r="N24" i="19"/>
  <c r="N25" i="19"/>
  <c r="N26" i="19"/>
  <c r="T26" i="19" s="1"/>
  <c r="O10" i="19"/>
  <c r="O23" i="19"/>
  <c r="O24" i="19"/>
  <c r="O25" i="19"/>
  <c r="O26" i="19"/>
  <c r="O27" i="19"/>
  <c r="P10" i="19"/>
  <c r="P24" i="19"/>
  <c r="P25" i="19"/>
  <c r="P26" i="19"/>
  <c r="P27" i="19"/>
  <c r="Q10" i="19"/>
  <c r="Q25" i="19"/>
  <c r="Q26" i="19"/>
  <c r="Q27" i="19"/>
  <c r="R10" i="19"/>
  <c r="R26" i="19"/>
  <c r="R27" i="19"/>
  <c r="S10" i="19"/>
  <c r="S27" i="19"/>
  <c r="S32" i="19" s="1"/>
  <c r="T8" i="19"/>
  <c r="T10" i="19" s="1"/>
  <c r="H7" i="15"/>
  <c r="L7" i="15"/>
  <c r="M7" i="15" s="1"/>
  <c r="N7" i="15" s="1"/>
  <c r="O7" i="15" s="1"/>
  <c r="M19" i="15"/>
  <c r="N19" i="15" s="1"/>
  <c r="O19" i="15" s="1"/>
  <c r="H8" i="15"/>
  <c r="I8" i="15" s="1"/>
  <c r="J8" i="15" s="1"/>
  <c r="H20" i="15"/>
  <c r="I20" i="15"/>
  <c r="J20" i="15" s="1"/>
  <c r="K20" i="15" s="1"/>
  <c r="L20" i="15" s="1"/>
  <c r="M20" i="15" s="1"/>
  <c r="N20" i="15" s="1"/>
  <c r="O20" i="15" s="1"/>
  <c r="K8" i="15"/>
  <c r="L8" i="15" s="1"/>
  <c r="M8" i="15" s="1"/>
  <c r="N8" i="15" s="1"/>
  <c r="O8" i="15" s="1"/>
  <c r="H21" i="15"/>
  <c r="I21" i="15" s="1"/>
  <c r="J21" i="15" s="1"/>
  <c r="K21" i="15" s="1"/>
  <c r="L21" i="15" s="1"/>
  <c r="M21" i="15"/>
  <c r="N21" i="15" s="1"/>
  <c r="O21" i="15" s="1"/>
  <c r="H11" i="15"/>
  <c r="I11" i="15" s="1"/>
  <c r="J11" i="15" s="1"/>
  <c r="K11" i="15" s="1"/>
  <c r="L11" i="15" s="1"/>
  <c r="M11" i="15" s="1"/>
  <c r="I23" i="15"/>
  <c r="J23" i="15" s="1"/>
  <c r="K23" i="15" s="1"/>
  <c r="L23" i="15" s="1"/>
  <c r="M23" i="15" s="1"/>
  <c r="N23" i="15" s="1"/>
  <c r="O23" i="15" s="1"/>
  <c r="N11" i="15"/>
  <c r="O11" i="15" s="1"/>
  <c r="H24" i="15"/>
  <c r="I24" i="15" s="1"/>
  <c r="J24" i="15" s="1"/>
  <c r="K24" i="15" s="1"/>
  <c r="L24" i="15" s="1"/>
  <c r="M24" i="15" s="1"/>
  <c r="N24" i="15" s="1"/>
  <c r="O24" i="15" s="1"/>
  <c r="G26" i="15"/>
  <c r="H26" i="15" s="1"/>
  <c r="I26" i="15" s="1"/>
  <c r="J26" i="15" s="1"/>
  <c r="K26" i="15" s="1"/>
  <c r="L26" i="15" s="1"/>
  <c r="M26" i="15" s="1"/>
  <c r="N26" i="15" s="1"/>
  <c r="O26" i="15" s="1"/>
  <c r="H14" i="15"/>
  <c r="I14" i="15" s="1"/>
  <c r="J14" i="15" s="1"/>
  <c r="K14" i="15" s="1"/>
  <c r="L14" i="15" s="1"/>
  <c r="M14" i="15" s="1"/>
  <c r="N14" i="15" s="1"/>
  <c r="O14" i="15" s="1"/>
  <c r="H15" i="15"/>
  <c r="I15" i="15" s="1"/>
  <c r="J15" i="15" s="1"/>
  <c r="K15" i="15" s="1"/>
  <c r="L15" i="15" s="1"/>
  <c r="M15" i="15" s="1"/>
  <c r="N15" i="15" s="1"/>
  <c r="O15" i="15" s="1"/>
  <c r="H27" i="15"/>
  <c r="I27" i="15" s="1"/>
  <c r="J27" i="15" s="1"/>
  <c r="K27" i="15" s="1"/>
  <c r="L27" i="15" s="1"/>
  <c r="M27" i="15" s="1"/>
  <c r="N27" i="15" s="1"/>
  <c r="O27" i="15" s="1"/>
  <c r="H16" i="15"/>
  <c r="I16" i="15" s="1"/>
  <c r="J16" i="15" s="1"/>
  <c r="K16" i="15" s="1"/>
  <c r="L16" i="15" s="1"/>
  <c r="M16" i="15" s="1"/>
  <c r="N16" i="15" s="1"/>
  <c r="O16" i="15" s="1"/>
  <c r="H28" i="15"/>
  <c r="I28" i="15" s="1"/>
  <c r="J28" i="15" s="1"/>
  <c r="K28" i="15" s="1"/>
  <c r="L28" i="15" s="1"/>
  <c r="M28" i="15" s="1"/>
  <c r="N28" i="15" s="1"/>
  <c r="O28" i="15" s="1"/>
  <c r="D30" i="15"/>
  <c r="E30" i="15" s="1"/>
  <c r="F30" i="15" s="1"/>
  <c r="G30" i="15" s="1"/>
  <c r="H30" i="15" s="1"/>
  <c r="I30" i="15" s="1"/>
  <c r="J30" i="15" s="1"/>
  <c r="K30" i="15" s="1"/>
  <c r="L30" i="15" s="1"/>
  <c r="M30" i="15" s="1"/>
  <c r="N30" i="15" s="1"/>
  <c r="O30" i="15" s="1"/>
  <c r="G37" i="15"/>
  <c r="H37" i="15" s="1"/>
  <c r="I37" i="15" s="1"/>
  <c r="J37" i="15" s="1"/>
  <c r="K37" i="15" s="1"/>
  <c r="L37" i="15" s="1"/>
  <c r="M37" i="15" s="1"/>
  <c r="N37" i="15" s="1"/>
  <c r="O37" i="15" s="1"/>
  <c r="D41" i="15"/>
  <c r="D31" i="7" s="1"/>
  <c r="D42" i="15"/>
  <c r="E42" i="15" s="1"/>
  <c r="F42" i="15" s="1"/>
  <c r="H42" i="15"/>
  <c r="I42" i="15" s="1"/>
  <c r="J42" i="15" s="1"/>
  <c r="K42" i="15" s="1"/>
  <c r="L42" i="15" s="1"/>
  <c r="M42" i="15" s="1"/>
  <c r="N42" i="15" s="1"/>
  <c r="O42" i="15" s="1"/>
  <c r="D43" i="15"/>
  <c r="E43" i="15" s="1"/>
  <c r="F43" i="15" s="1"/>
  <c r="G43" i="15" s="1"/>
  <c r="H43" i="15" s="1"/>
  <c r="I43" i="15" s="1"/>
  <c r="J43" i="15" s="1"/>
  <c r="K43" i="15" s="1"/>
  <c r="L43" i="15" s="1"/>
  <c r="M43" i="15" s="1"/>
  <c r="N43" i="15" s="1"/>
  <c r="O43" i="15" s="1"/>
  <c r="D44" i="15"/>
  <c r="D46" i="15"/>
  <c r="E8" i="18"/>
  <c r="P8" i="18" s="1"/>
  <c r="F27" i="18"/>
  <c r="G27" i="18" s="1"/>
  <c r="F8" i="18"/>
  <c r="F9" i="18"/>
  <c r="H9" i="18"/>
  <c r="M27" i="18"/>
  <c r="N27" i="18" s="1"/>
  <c r="D55" i="15"/>
  <c r="E55" i="15" s="1"/>
  <c r="F55" i="15" s="1"/>
  <c r="G55" i="15" s="1"/>
  <c r="H55" i="15" s="1"/>
  <c r="I55" i="15" s="1"/>
  <c r="J55" i="15" s="1"/>
  <c r="K55" i="15" s="1"/>
  <c r="L55" i="15" s="1"/>
  <c r="M55" i="15" s="1"/>
  <c r="N55" i="15" s="1"/>
  <c r="O55" i="15" s="1"/>
  <c r="D65" i="15"/>
  <c r="E65" i="15" s="1"/>
  <c r="F65" i="15" s="1"/>
  <c r="G65" i="15" s="1"/>
  <c r="H65" i="15" s="1"/>
  <c r="I65" i="15" s="1"/>
  <c r="J65" i="15" s="1"/>
  <c r="E47" i="15"/>
  <c r="E73" i="15"/>
  <c r="F73" i="15" s="1"/>
  <c r="F47" i="15"/>
  <c r="G47" i="15" s="1"/>
  <c r="H47" i="15" s="1"/>
  <c r="I47" i="15" s="1"/>
  <c r="J47" i="15" s="1"/>
  <c r="K47" i="15" s="1"/>
  <c r="L47" i="15" s="1"/>
  <c r="M47" i="15" s="1"/>
  <c r="N47" i="15" s="1"/>
  <c r="O47" i="15" s="1"/>
  <c r="H73" i="15"/>
  <c r="I73" i="15" s="1"/>
  <c r="J73" i="15" s="1"/>
  <c r="K73" i="15"/>
  <c r="L73" i="15" s="1"/>
  <c r="M73" i="15" s="1"/>
  <c r="N73" i="15" s="1"/>
  <c r="O73" i="15" s="1"/>
  <c r="P13" i="19"/>
  <c r="Q13" i="19"/>
  <c r="R13" i="19"/>
  <c r="S13" i="19"/>
  <c r="T13" i="19"/>
  <c r="O27" i="18"/>
  <c r="O23" i="18"/>
  <c r="C80" i="15"/>
  <c r="C23" i="21" s="1"/>
  <c r="F20" i="1"/>
  <c r="E28" i="1"/>
  <c r="F28" i="1"/>
  <c r="D28" i="1"/>
  <c r="E70" i="1"/>
  <c r="D70" i="1"/>
  <c r="F70" i="1"/>
  <c r="F36" i="1"/>
  <c r="G28" i="1"/>
  <c r="G70" i="1"/>
  <c r="H28" i="1"/>
  <c r="H36" i="1" s="1"/>
  <c r="H70" i="1"/>
  <c r="I28" i="1"/>
  <c r="I70" i="1"/>
  <c r="I36" i="1"/>
  <c r="J28" i="1"/>
  <c r="J36" i="1" s="1"/>
  <c r="J70" i="1"/>
  <c r="K28" i="1"/>
  <c r="K36" i="1" s="1"/>
  <c r="K70" i="1"/>
  <c r="L28" i="1"/>
  <c r="L70" i="1"/>
  <c r="L36" i="1"/>
  <c r="M28" i="1"/>
  <c r="M36" i="1" s="1"/>
  <c r="M70" i="1"/>
  <c r="K53" i="8" s="1"/>
  <c r="N28" i="1"/>
  <c r="N36" i="1" s="1"/>
  <c r="N70" i="1"/>
  <c r="O28" i="1"/>
  <c r="O36" i="1" s="1"/>
  <c r="O70" i="1"/>
  <c r="P28" i="1"/>
  <c r="P36" i="1" s="1"/>
  <c r="P70" i="1"/>
  <c r="O22" i="8"/>
  <c r="O23" i="8"/>
  <c r="O24" i="8"/>
  <c r="O25" i="8"/>
  <c r="O28" i="8"/>
  <c r="Q28" i="1"/>
  <c r="O30" i="8"/>
  <c r="O31" i="8"/>
  <c r="O32" i="8"/>
  <c r="O33" i="8"/>
  <c r="O34" i="8"/>
  <c r="O68" i="15"/>
  <c r="O38" i="8"/>
  <c r="O39" i="8"/>
  <c r="O42" i="8"/>
  <c r="O44" i="8"/>
  <c r="O47" i="8"/>
  <c r="O48" i="8"/>
  <c r="O49" i="8"/>
  <c r="O50" i="8"/>
  <c r="O52" i="8"/>
  <c r="Q70" i="1"/>
  <c r="O54" i="8"/>
  <c r="O55" i="8"/>
  <c r="D18" i="25"/>
  <c r="E18" i="25"/>
  <c r="C18" i="25"/>
  <c r="C17" i="25"/>
  <c r="D15" i="25"/>
  <c r="E15" i="25"/>
  <c r="C15" i="25"/>
  <c r="C70" i="1"/>
  <c r="C74" i="1" s="1"/>
  <c r="B70" i="1"/>
  <c r="B74" i="1" s="1"/>
  <c r="B51" i="1"/>
  <c r="B60" i="1"/>
  <c r="C51" i="1"/>
  <c r="C60" i="1"/>
  <c r="D74" i="1"/>
  <c r="D51" i="1"/>
  <c r="D41" i="23" s="1"/>
  <c r="D60" i="1"/>
  <c r="B28" i="1"/>
  <c r="B36" i="1" s="1"/>
  <c r="C28" i="1"/>
  <c r="C36" i="1" s="1"/>
  <c r="BV8" i="1"/>
  <c r="BV9" i="1"/>
  <c r="BV10" i="1"/>
  <c r="BV11" i="1"/>
  <c r="BV12" i="1"/>
  <c r="BV13" i="1"/>
  <c r="BV14" i="1"/>
  <c r="BV20" i="1"/>
  <c r="BV21" i="1"/>
  <c r="BV27" i="1"/>
  <c r="BV31" i="1"/>
  <c r="BV32" i="1"/>
  <c r="BV33" i="1"/>
  <c r="BV34" i="1"/>
  <c r="BV35" i="1"/>
  <c r="BW8" i="1"/>
  <c r="BW9" i="1"/>
  <c r="BW10" i="1"/>
  <c r="BW11" i="1"/>
  <c r="BW12" i="1"/>
  <c r="BW13" i="1"/>
  <c r="BW14" i="1"/>
  <c r="BW20" i="1"/>
  <c r="BW21" i="1"/>
  <c r="BW27" i="1"/>
  <c r="BW31" i="1"/>
  <c r="BW32" i="1"/>
  <c r="BW33" i="1"/>
  <c r="BW34" i="1"/>
  <c r="BW35" i="1"/>
  <c r="BV43" i="1"/>
  <c r="BV44" i="1"/>
  <c r="BV45" i="1"/>
  <c r="BV46" i="1"/>
  <c r="BV47" i="1"/>
  <c r="BV48" i="1"/>
  <c r="BV49" i="1"/>
  <c r="BV50" i="1"/>
  <c r="BV54" i="1"/>
  <c r="BV55" i="1"/>
  <c r="BV56" i="1"/>
  <c r="BV57" i="1"/>
  <c r="BV58" i="1"/>
  <c r="BV59" i="1"/>
  <c r="BV62" i="1"/>
  <c r="BV66" i="1"/>
  <c r="BV67" i="1"/>
  <c r="BV68" i="1"/>
  <c r="BV69" i="1"/>
  <c r="BV71" i="1"/>
  <c r="BV72" i="1"/>
  <c r="BV73" i="1"/>
  <c r="BW43" i="1"/>
  <c r="BW44" i="1"/>
  <c r="BW45" i="1"/>
  <c r="BW46" i="1"/>
  <c r="BW47" i="1"/>
  <c r="BW48" i="1"/>
  <c r="BW49" i="1"/>
  <c r="BW50" i="1"/>
  <c r="BW54" i="1"/>
  <c r="BW55" i="1"/>
  <c r="BW56" i="1"/>
  <c r="BW57" i="1"/>
  <c r="BW58" i="1"/>
  <c r="BW59" i="1"/>
  <c r="BW62" i="1"/>
  <c r="BW66" i="1"/>
  <c r="BW67" i="1"/>
  <c r="BW68" i="1"/>
  <c r="BW69" i="1"/>
  <c r="BW71" i="1"/>
  <c r="BW72" i="1"/>
  <c r="BW73" i="1"/>
  <c r="D15" i="1"/>
  <c r="D24" i="1"/>
  <c r="C15" i="1"/>
  <c r="C24" i="1"/>
  <c r="B15" i="1"/>
  <c r="B24" i="1"/>
  <c r="C5" i="1"/>
  <c r="B5" i="1" s="1"/>
  <c r="C17" i="22"/>
  <c r="H23" i="22"/>
  <c r="I22" i="22"/>
  <c r="J22" i="22" s="1"/>
  <c r="K22" i="22" s="1"/>
  <c r="L22" i="22" s="1"/>
  <c r="M22" i="22" s="1"/>
  <c r="N22" i="22" s="1"/>
  <c r="O22" i="22" s="1"/>
  <c r="P22" i="22" s="1"/>
  <c r="C8" i="22"/>
  <c r="C18" i="22"/>
  <c r="K21" i="22"/>
  <c r="L21" i="22"/>
  <c r="M21" i="22" s="1"/>
  <c r="N21" i="22" s="1"/>
  <c r="O21" i="22" s="1"/>
  <c r="P21" i="22" s="1"/>
  <c r="D8" i="22"/>
  <c r="D48" i="23"/>
  <c r="D45" i="23"/>
  <c r="D33" i="23"/>
  <c r="D31" i="23"/>
  <c r="D16" i="23"/>
  <c r="C7" i="17"/>
  <c r="O10" i="17"/>
  <c r="D10" i="17"/>
  <c r="D11" i="17"/>
  <c r="H10" i="17"/>
  <c r="I10" i="17"/>
  <c r="J10" i="17"/>
  <c r="L10" i="17"/>
  <c r="K10" i="17"/>
  <c r="P13" i="21"/>
  <c r="Q13" i="21"/>
  <c r="R13" i="21"/>
  <c r="S13" i="21"/>
  <c r="T13" i="21"/>
  <c r="U13" i="21"/>
  <c r="V13" i="21"/>
  <c r="W13" i="21"/>
  <c r="X13" i="21"/>
  <c r="Y13" i="21"/>
  <c r="Y30" i="21"/>
  <c r="X30" i="21"/>
  <c r="W30" i="21"/>
  <c r="V30" i="21"/>
  <c r="U30" i="21"/>
  <c r="T30" i="21"/>
  <c r="S30" i="21"/>
  <c r="R30" i="21"/>
  <c r="Q30" i="21"/>
  <c r="P30" i="21"/>
  <c r="P9" i="21"/>
  <c r="Q9" i="21"/>
  <c r="R9" i="21"/>
  <c r="S9" i="21"/>
  <c r="T9" i="21"/>
  <c r="U9" i="21"/>
  <c r="V9" i="21"/>
  <c r="W9" i="21"/>
  <c r="X9" i="21"/>
  <c r="Y9" i="21"/>
  <c r="P7" i="21"/>
  <c r="P6" i="21"/>
  <c r="P10" i="21" s="1"/>
  <c r="Q7" i="21"/>
  <c r="Q6" i="21"/>
  <c r="Q10" i="21" s="1"/>
  <c r="P8" i="21"/>
  <c r="R7" i="21"/>
  <c r="R6" i="21"/>
  <c r="R10" i="21" s="1"/>
  <c r="Q8" i="21"/>
  <c r="S7" i="21"/>
  <c r="S6" i="21"/>
  <c r="S10" i="21" s="1"/>
  <c r="R8" i="21"/>
  <c r="T7" i="21"/>
  <c r="T6" i="21"/>
  <c r="T10" i="21" s="1"/>
  <c r="S8" i="21"/>
  <c r="U7" i="21"/>
  <c r="U6" i="21"/>
  <c r="U10" i="21" s="1"/>
  <c r="T8" i="21"/>
  <c r="V7" i="21"/>
  <c r="V6" i="21"/>
  <c r="V10" i="21" s="1"/>
  <c r="U8" i="21"/>
  <c r="W7" i="21"/>
  <c r="W6" i="21"/>
  <c r="W10" i="21" s="1"/>
  <c r="V8" i="21"/>
  <c r="X7" i="21"/>
  <c r="X6" i="21"/>
  <c r="W8" i="21"/>
  <c r="Y7" i="21"/>
  <c r="Y6" i="21"/>
  <c r="Y10" i="21" s="1"/>
  <c r="X8" i="21"/>
  <c r="X10" i="21"/>
  <c r="P19" i="21"/>
  <c r="Y8" i="21"/>
  <c r="Q19" i="21"/>
  <c r="R19" i="21"/>
  <c r="S19" i="21"/>
  <c r="T19" i="21"/>
  <c r="U19" i="21"/>
  <c r="V19" i="21"/>
  <c r="W19" i="21"/>
  <c r="X19" i="21"/>
  <c r="Y19" i="21"/>
  <c r="C13" i="19"/>
  <c r="P19" i="18"/>
  <c r="P9" i="18"/>
  <c r="P10" i="18"/>
  <c r="P11" i="18"/>
  <c r="P12" i="18"/>
  <c r="P13" i="18"/>
  <c r="P14" i="18"/>
  <c r="P15" i="18"/>
  <c r="P16" i="18"/>
  <c r="P17" i="18"/>
  <c r="P18" i="18"/>
  <c r="P20" i="18"/>
  <c r="P21" i="18"/>
  <c r="P22" i="18"/>
  <c r="D71" i="15"/>
  <c r="E71" i="15" s="1"/>
  <c r="F71" i="15" s="1"/>
  <c r="G71" i="15" s="1"/>
  <c r="H71" i="15" s="1"/>
  <c r="I71" i="15" s="1"/>
  <c r="J71" i="15" s="1"/>
  <c r="K71" i="15" s="1"/>
  <c r="L71" i="15" s="1"/>
  <c r="M71" i="15" s="1"/>
  <c r="N71" i="15" s="1"/>
  <c r="O71" i="15" s="1"/>
  <c r="D62" i="15"/>
  <c r="D59" i="15" s="1"/>
  <c r="E62" i="15"/>
  <c r="F62" i="15"/>
  <c r="G62" i="15"/>
  <c r="H62" i="15"/>
  <c r="I62" i="15"/>
  <c r="J62" i="15"/>
  <c r="K62" i="15"/>
  <c r="L62" i="15"/>
  <c r="M62" i="15"/>
  <c r="N62" i="15"/>
  <c r="O62" i="15"/>
  <c r="C62" i="15"/>
  <c r="C59" i="15" s="1"/>
  <c r="E18" i="22" l="1"/>
  <c r="F9" i="22"/>
  <c r="D13" i="19"/>
  <c r="J29" i="8"/>
  <c r="C28" i="7"/>
  <c r="G19" i="16" s="1"/>
  <c r="E59" i="15"/>
  <c r="M10" i="17"/>
  <c r="D40" i="23"/>
  <c r="D185" i="34"/>
  <c r="D91" i="34"/>
  <c r="F198" i="34"/>
  <c r="F155" i="34"/>
  <c r="F113" i="34"/>
  <c r="E158" i="34"/>
  <c r="E102" i="34"/>
  <c r="F59" i="15"/>
  <c r="B19" i="7"/>
  <c r="D181" i="34"/>
  <c r="D75" i="34"/>
  <c r="F193" i="34"/>
  <c r="F150" i="34"/>
  <c r="F106" i="34"/>
  <c r="E206" i="34"/>
  <c r="E151" i="34"/>
  <c r="E94" i="34"/>
  <c r="F139" i="34"/>
  <c r="E198" i="34"/>
  <c r="E78" i="34"/>
  <c r="D38" i="23"/>
  <c r="D76" i="1"/>
  <c r="O29" i="8"/>
  <c r="K7" i="22"/>
  <c r="K8" i="22" s="1"/>
  <c r="D213" i="34"/>
  <c r="D157" i="34"/>
  <c r="F177" i="34"/>
  <c r="F134" i="34"/>
  <c r="F85" i="34"/>
  <c r="E183" i="34"/>
  <c r="E134" i="34"/>
  <c r="E71" i="34"/>
  <c r="M6" i="22"/>
  <c r="D165" i="34"/>
  <c r="F182" i="34"/>
  <c r="F93" i="34"/>
  <c r="E135" i="34"/>
  <c r="H59" i="15"/>
  <c r="G11" i="17"/>
  <c r="BV76" i="1"/>
  <c r="BV28" i="1"/>
  <c r="D205" i="34"/>
  <c r="D149" i="34"/>
  <c r="F214" i="34"/>
  <c r="F171" i="34"/>
  <c r="F129" i="34"/>
  <c r="F78" i="34"/>
  <c r="E182" i="34"/>
  <c r="E119" i="34"/>
  <c r="E70" i="34"/>
  <c r="D12" i="34"/>
  <c r="C62" i="7" s="1"/>
  <c r="B64" i="7" s="1"/>
  <c r="E22" i="1"/>
  <c r="T25" i="19"/>
  <c r="R32" i="19"/>
  <c r="R34" i="19" s="1"/>
  <c r="D24" i="7"/>
  <c r="C10" i="8"/>
  <c r="D201" i="34"/>
  <c r="F209" i="34"/>
  <c r="F166" i="34"/>
  <c r="F123" i="34"/>
  <c r="E174" i="34"/>
  <c r="C38" i="1"/>
  <c r="D27" i="7"/>
  <c r="N68" i="15"/>
  <c r="D30" i="18"/>
  <c r="D22" i="23"/>
  <c r="D25" i="23"/>
  <c r="D26" i="23"/>
  <c r="F29" i="8"/>
  <c r="G36" i="1"/>
  <c r="D29" i="8"/>
  <c r="E36" i="1"/>
  <c r="F10" i="16"/>
  <c r="D34" i="23"/>
  <c r="D35" i="23" s="1"/>
  <c r="G59" i="15"/>
  <c r="D44" i="23"/>
  <c r="BV38" i="1"/>
  <c r="BV39" i="1" s="1"/>
  <c r="G34" i="19"/>
  <c r="C46" i="8"/>
  <c r="F213" i="34"/>
  <c r="F207" i="34"/>
  <c r="F202" i="34"/>
  <c r="F197" i="34"/>
  <c r="F191" i="34"/>
  <c r="F186" i="34"/>
  <c r="F181" i="34"/>
  <c r="F175" i="34"/>
  <c r="F170" i="34"/>
  <c r="F165" i="34"/>
  <c r="F159" i="34"/>
  <c r="F154" i="34"/>
  <c r="F149" i="34"/>
  <c r="F143" i="34"/>
  <c r="F138" i="34"/>
  <c r="F133" i="34"/>
  <c r="F127" i="34"/>
  <c r="F122" i="34"/>
  <c r="F117" i="34"/>
  <c r="F111" i="34"/>
  <c r="F105" i="34"/>
  <c r="F98" i="34"/>
  <c r="F90" i="34"/>
  <c r="F83" i="34"/>
  <c r="F77" i="34"/>
  <c r="F68" i="34"/>
  <c r="F65" i="34"/>
  <c r="F70" i="34"/>
  <c r="F75" i="34"/>
  <c r="F81" i="34"/>
  <c r="F86" i="34"/>
  <c r="F91" i="34"/>
  <c r="F97" i="34"/>
  <c r="F102" i="34"/>
  <c r="F107" i="34"/>
  <c r="F112" i="34"/>
  <c r="F116" i="34"/>
  <c r="F120" i="34"/>
  <c r="F124" i="34"/>
  <c r="F128" i="34"/>
  <c r="F132" i="34"/>
  <c r="F136" i="34"/>
  <c r="F140" i="34"/>
  <c r="F144" i="34"/>
  <c r="F148" i="34"/>
  <c r="F152" i="34"/>
  <c r="F156" i="34"/>
  <c r="F160" i="34"/>
  <c r="F164" i="34"/>
  <c r="F168" i="34"/>
  <c r="F172" i="34"/>
  <c r="F176" i="34"/>
  <c r="F180" i="34"/>
  <c r="F184" i="34"/>
  <c r="F188" i="34"/>
  <c r="F192" i="34"/>
  <c r="F196" i="34"/>
  <c r="F200" i="34"/>
  <c r="F204" i="34"/>
  <c r="F208" i="34"/>
  <c r="F212" i="34"/>
  <c r="H29" i="8"/>
  <c r="D101" i="34"/>
  <c r="D139" i="34"/>
  <c r="D161" i="34"/>
  <c r="D177" i="34"/>
  <c r="D193" i="34"/>
  <c r="D209" i="34"/>
  <c r="F210" i="34"/>
  <c r="F205" i="34"/>
  <c r="F199" i="34"/>
  <c r="F194" i="34"/>
  <c r="F189" i="34"/>
  <c r="F183" i="34"/>
  <c r="F178" i="34"/>
  <c r="F173" i="34"/>
  <c r="F167" i="34"/>
  <c r="F162" i="34"/>
  <c r="F157" i="34"/>
  <c r="F151" i="34"/>
  <c r="F146" i="34"/>
  <c r="F141" i="34"/>
  <c r="F135" i="34"/>
  <c r="F130" i="34"/>
  <c r="F125" i="34"/>
  <c r="F119" i="34"/>
  <c r="F114" i="34"/>
  <c r="F109" i="34"/>
  <c r="F101" i="34"/>
  <c r="F94" i="34"/>
  <c r="F87" i="34"/>
  <c r="F79" i="34"/>
  <c r="F73" i="34"/>
  <c r="F66" i="34"/>
  <c r="E79" i="34"/>
  <c r="E95" i="34"/>
  <c r="E111" i="34"/>
  <c r="E127" i="34"/>
  <c r="E143" i="34"/>
  <c r="E159" i="34"/>
  <c r="E175" i="34"/>
  <c r="E191" i="34"/>
  <c r="E207" i="34"/>
  <c r="B29" i="7"/>
  <c r="I59" i="15"/>
  <c r="B38" i="1"/>
  <c r="N32" i="19"/>
  <c r="T22" i="19"/>
  <c r="J32" i="19"/>
  <c r="K46" i="1" s="1"/>
  <c r="C40" i="8"/>
  <c r="C68" i="15"/>
  <c r="E55" i="1" s="1"/>
  <c r="E45" i="23" s="1"/>
  <c r="C10" i="17"/>
  <c r="D16" i="7"/>
  <c r="D10" i="7"/>
  <c r="N29" i="8"/>
  <c r="D57" i="15"/>
  <c r="D197" i="34"/>
  <c r="D173" i="34"/>
  <c r="D153" i="34"/>
  <c r="D107" i="34"/>
  <c r="F211" i="34"/>
  <c r="F206" i="34"/>
  <c r="F201" i="34"/>
  <c r="F195" i="34"/>
  <c r="F190" i="34"/>
  <c r="F185" i="34"/>
  <c r="F179" i="34"/>
  <c r="F174" i="34"/>
  <c r="F169" i="34"/>
  <c r="F163" i="34"/>
  <c r="F158" i="34"/>
  <c r="F153" i="34"/>
  <c r="F147" i="34"/>
  <c r="F142" i="34"/>
  <c r="F137" i="34"/>
  <c r="F131" i="34"/>
  <c r="F126" i="34"/>
  <c r="F121" i="34"/>
  <c r="F115" i="34"/>
  <c r="F110" i="34"/>
  <c r="F103" i="34"/>
  <c r="F95" i="34"/>
  <c r="F89" i="34"/>
  <c r="F82" i="34"/>
  <c r="F74" i="34"/>
  <c r="F67" i="34"/>
  <c r="E214" i="34"/>
  <c r="E190" i="34"/>
  <c r="E167" i="34"/>
  <c r="E150" i="34"/>
  <c r="E126" i="34"/>
  <c r="E103" i="34"/>
  <c r="E86" i="34"/>
  <c r="C76" i="1"/>
  <c r="C77" i="1" s="1"/>
  <c r="L29" i="8"/>
  <c r="Q32" i="19"/>
  <c r="Q34" i="19" s="1"/>
  <c r="H32" i="19"/>
  <c r="I46" i="1" s="1"/>
  <c r="D32" i="7"/>
  <c r="E32" i="7" s="1"/>
  <c r="E21" i="1"/>
  <c r="C27" i="8" s="1"/>
  <c r="C8" i="17"/>
  <c r="C8" i="21"/>
  <c r="M11" i="17"/>
  <c r="N46" i="1"/>
  <c r="M34" i="19"/>
  <c r="I11" i="17"/>
  <c r="I34" i="19"/>
  <c r="J46" i="1"/>
  <c r="O46" i="1"/>
  <c r="N34" i="19"/>
  <c r="N11" i="17"/>
  <c r="M53" i="8"/>
  <c r="I53" i="8"/>
  <c r="F32" i="7"/>
  <c r="G32" i="7" s="1"/>
  <c r="H32" i="7" s="1"/>
  <c r="I32" i="7" s="1"/>
  <c r="J32" i="7" s="1"/>
  <c r="K32" i="7" s="1"/>
  <c r="L32" i="7" s="1"/>
  <c r="M32" i="7" s="1"/>
  <c r="N32" i="7" s="1"/>
  <c r="O32" i="7" s="1"/>
  <c r="N53" i="8"/>
  <c r="J53" i="8"/>
  <c r="F53" i="8"/>
  <c r="D34" i="7"/>
  <c r="E44" i="15"/>
  <c r="F44" i="15" s="1"/>
  <c r="G44" i="15" s="1"/>
  <c r="H44" i="15" s="1"/>
  <c r="I44" i="15" s="1"/>
  <c r="J44" i="15" s="1"/>
  <c r="K44" i="15" s="1"/>
  <c r="L44" i="15" s="1"/>
  <c r="M44" i="15" s="1"/>
  <c r="N44" i="15" s="1"/>
  <c r="O44" i="15" s="1"/>
  <c r="T20" i="19"/>
  <c r="P32" i="19"/>
  <c r="Q46" i="1" s="1"/>
  <c r="O32" i="19"/>
  <c r="L32" i="19"/>
  <c r="K32" i="19"/>
  <c r="E53" i="8"/>
  <c r="F18" i="22"/>
  <c r="E57" i="15"/>
  <c r="G9" i="22"/>
  <c r="E13" i="19"/>
  <c r="K65" i="15"/>
  <c r="L65" i="15" s="1"/>
  <c r="J59" i="15"/>
  <c r="F12" i="16"/>
  <c r="D36" i="23"/>
  <c r="M7" i="22"/>
  <c r="N6" i="22"/>
  <c r="B35" i="7"/>
  <c r="C34" i="20" s="1"/>
  <c r="D8" i="23"/>
  <c r="D42" i="23"/>
  <c r="D47" i="23"/>
  <c r="O53" i="8"/>
  <c r="G46" i="1"/>
  <c r="F11" i="17"/>
  <c r="E68" i="15"/>
  <c r="E34" i="19"/>
  <c r="E10" i="17"/>
  <c r="L7" i="22"/>
  <c r="L8" i="22" s="1"/>
  <c r="P23" i="18"/>
  <c r="D23" i="23"/>
  <c r="D20" i="23"/>
  <c r="B76" i="1"/>
  <c r="B77" i="1" s="1"/>
  <c r="G53" i="8"/>
  <c r="C53" i="8"/>
  <c r="D26" i="8"/>
  <c r="G20" i="1"/>
  <c r="D68" i="15"/>
  <c r="D34" i="19"/>
  <c r="D66" i="34"/>
  <c r="D68" i="34"/>
  <c r="D70" i="34"/>
  <c r="D72" i="34"/>
  <c r="D74" i="34"/>
  <c r="D76" i="34"/>
  <c r="D78" i="34"/>
  <c r="D80" i="34"/>
  <c r="D82" i="34"/>
  <c r="D84" i="34"/>
  <c r="D86" i="34"/>
  <c r="D88" i="34"/>
  <c r="D90" i="34"/>
  <c r="D92" i="34"/>
  <c r="D94" i="34"/>
  <c r="D96" i="34"/>
  <c r="D98" i="34"/>
  <c r="D100" i="34"/>
  <c r="D102" i="34"/>
  <c r="D104" i="34"/>
  <c r="D106" i="34"/>
  <c r="D108" i="34"/>
  <c r="D110" i="34"/>
  <c r="D112" i="34"/>
  <c r="D114" i="34"/>
  <c r="D116" i="34"/>
  <c r="D118" i="34"/>
  <c r="G118" i="34" s="1"/>
  <c r="D120" i="34"/>
  <c r="D122" i="34"/>
  <c r="D124" i="34"/>
  <c r="D126" i="34"/>
  <c r="D128" i="34"/>
  <c r="D130" i="34"/>
  <c r="D132" i="34"/>
  <c r="D134" i="34"/>
  <c r="D136" i="34"/>
  <c r="D138" i="34"/>
  <c r="D140" i="34"/>
  <c r="D142" i="34"/>
  <c r="D144" i="34"/>
  <c r="D146" i="34"/>
  <c r="D65" i="34"/>
  <c r="D73" i="34"/>
  <c r="D81" i="34"/>
  <c r="D89" i="34"/>
  <c r="D97" i="34"/>
  <c r="D105" i="34"/>
  <c r="D113" i="34"/>
  <c r="D121" i="34"/>
  <c r="D129" i="34"/>
  <c r="D137" i="34"/>
  <c r="D145" i="34"/>
  <c r="D71" i="34"/>
  <c r="D79" i="34"/>
  <c r="D87" i="34"/>
  <c r="D95" i="34"/>
  <c r="D103" i="34"/>
  <c r="D111" i="34"/>
  <c r="D119" i="34"/>
  <c r="D127" i="34"/>
  <c r="D135" i="34"/>
  <c r="D143" i="34"/>
  <c r="D148" i="34"/>
  <c r="D150" i="34"/>
  <c r="D152" i="34"/>
  <c r="D154" i="34"/>
  <c r="D156" i="34"/>
  <c r="D158" i="34"/>
  <c r="D160" i="34"/>
  <c r="D162" i="34"/>
  <c r="D164" i="34"/>
  <c r="D166" i="34"/>
  <c r="D168" i="34"/>
  <c r="D170" i="34"/>
  <c r="D172" i="34"/>
  <c r="D174" i="34"/>
  <c r="D176" i="34"/>
  <c r="D178" i="34"/>
  <c r="D180" i="34"/>
  <c r="D182" i="34"/>
  <c r="D184" i="34"/>
  <c r="D186" i="34"/>
  <c r="D188" i="34"/>
  <c r="D190" i="34"/>
  <c r="D192" i="34"/>
  <c r="D194" i="34"/>
  <c r="D196" i="34"/>
  <c r="D198" i="34"/>
  <c r="D200" i="34"/>
  <c r="D202" i="34"/>
  <c r="D204" i="34"/>
  <c r="D206" i="34"/>
  <c r="D208" i="34"/>
  <c r="D210" i="34"/>
  <c r="D212" i="34"/>
  <c r="D214" i="34"/>
  <c r="D77" i="34"/>
  <c r="D93" i="34"/>
  <c r="D109" i="34"/>
  <c r="D125" i="34"/>
  <c r="D141" i="34"/>
  <c r="D67" i="34"/>
  <c r="D83" i="34"/>
  <c r="D99" i="34"/>
  <c r="D115" i="34"/>
  <c r="D131" i="34"/>
  <c r="D147" i="34"/>
  <c r="D151" i="34"/>
  <c r="D155" i="34"/>
  <c r="D159" i="34"/>
  <c r="D163" i="34"/>
  <c r="D167" i="34"/>
  <c r="D171" i="34"/>
  <c r="D175" i="34"/>
  <c r="D179" i="34"/>
  <c r="D183" i="34"/>
  <c r="D187" i="34"/>
  <c r="D191" i="34"/>
  <c r="D195" i="34"/>
  <c r="D199" i="34"/>
  <c r="D203" i="34"/>
  <c r="D207" i="34"/>
  <c r="D211" i="34"/>
  <c r="D21" i="23"/>
  <c r="I23" i="22"/>
  <c r="J23" i="22" s="1"/>
  <c r="K23" i="22" s="1"/>
  <c r="L23" i="22" s="1"/>
  <c r="M23" i="22" s="1"/>
  <c r="N23" i="22" s="1"/>
  <c r="O23" i="22" s="1"/>
  <c r="P23" i="22" s="1"/>
  <c r="BW76" i="1"/>
  <c r="L53" i="8"/>
  <c r="H53" i="8"/>
  <c r="C29" i="8"/>
  <c r="D36" i="1"/>
  <c r="C18" i="21" s="1"/>
  <c r="BW28" i="1"/>
  <c r="BW38" i="1" s="1"/>
  <c r="BW39" i="1" s="1"/>
  <c r="E46" i="15"/>
  <c r="F46" i="15" s="1"/>
  <c r="G46" i="15" s="1"/>
  <c r="H46" i="15" s="1"/>
  <c r="I46" i="15" s="1"/>
  <c r="J46" i="15" s="1"/>
  <c r="K46" i="15" s="1"/>
  <c r="L46" i="15" s="1"/>
  <c r="M46" i="15" s="1"/>
  <c r="N46" i="15" s="1"/>
  <c r="O46" i="15" s="1"/>
  <c r="T24" i="19"/>
  <c r="G68" i="15"/>
  <c r="G10" i="17"/>
  <c r="F46" i="1"/>
  <c r="E11" i="17"/>
  <c r="C34" i="19"/>
  <c r="G80" i="15"/>
  <c r="C10" i="22" s="1"/>
  <c r="D117" i="34"/>
  <c r="D85" i="34"/>
  <c r="Q36" i="1"/>
  <c r="M29" i="8"/>
  <c r="K29" i="8"/>
  <c r="I29" i="8"/>
  <c r="G29" i="8"/>
  <c r="D53" i="8"/>
  <c r="E29" i="8"/>
  <c r="E41" i="15"/>
  <c r="F41" i="15" s="1"/>
  <c r="G41" i="15" s="1"/>
  <c r="H41" i="15" s="1"/>
  <c r="I41" i="15" s="1"/>
  <c r="J41" i="15" s="1"/>
  <c r="K41" i="15" s="1"/>
  <c r="L41" i="15" s="1"/>
  <c r="M41" i="15" s="1"/>
  <c r="N41" i="15" s="1"/>
  <c r="O41" i="15" s="1"/>
  <c r="T18" i="19"/>
  <c r="T19" i="19"/>
  <c r="F44" i="1"/>
  <c r="E53" i="15"/>
  <c r="F53" i="15" s="1"/>
  <c r="G53" i="15" s="1"/>
  <c r="H53" i="15" s="1"/>
  <c r="I53" i="15" s="1"/>
  <c r="J53" i="15" s="1"/>
  <c r="K53" i="15" s="1"/>
  <c r="L53" i="15" s="1"/>
  <c r="M53" i="15" s="1"/>
  <c r="N53" i="15" s="1"/>
  <c r="O53" i="15" s="1"/>
  <c r="D28" i="7"/>
  <c r="E24" i="7"/>
  <c r="E68" i="34"/>
  <c r="E72" i="34"/>
  <c r="E76" i="34"/>
  <c r="E80" i="34"/>
  <c r="E84" i="34"/>
  <c r="E88" i="34"/>
  <c r="E92" i="34"/>
  <c r="E96" i="34"/>
  <c r="E100" i="34"/>
  <c r="E104" i="34"/>
  <c r="E108" i="34"/>
  <c r="E112" i="34"/>
  <c r="E116" i="34"/>
  <c r="E120" i="34"/>
  <c r="E124" i="34"/>
  <c r="E128" i="34"/>
  <c r="E132" i="34"/>
  <c r="E136" i="34"/>
  <c r="E140" i="34"/>
  <c r="E144" i="34"/>
  <c r="E148" i="34"/>
  <c r="E152" i="34"/>
  <c r="E156" i="34"/>
  <c r="E160" i="34"/>
  <c r="E164" i="34"/>
  <c r="E168" i="34"/>
  <c r="E172" i="34"/>
  <c r="E176" i="34"/>
  <c r="E180" i="34"/>
  <c r="E184" i="34"/>
  <c r="E188" i="34"/>
  <c r="E192" i="34"/>
  <c r="E196" i="34"/>
  <c r="E200" i="34"/>
  <c r="E204" i="34"/>
  <c r="E208" i="34"/>
  <c r="E212" i="34"/>
  <c r="E65" i="34"/>
  <c r="E69" i="34"/>
  <c r="G69" i="34" s="1"/>
  <c r="E73" i="34"/>
  <c r="E77" i="34"/>
  <c r="E81" i="34"/>
  <c r="E85" i="34"/>
  <c r="E89" i="34"/>
  <c r="E93" i="34"/>
  <c r="E97" i="34"/>
  <c r="E101" i="34"/>
  <c r="E105" i="34"/>
  <c r="E109" i="34"/>
  <c r="E113" i="34"/>
  <c r="E117" i="34"/>
  <c r="E121" i="34"/>
  <c r="E125" i="34"/>
  <c r="E129" i="34"/>
  <c r="E133" i="34"/>
  <c r="E137" i="34"/>
  <c r="E141" i="34"/>
  <c r="E145" i="34"/>
  <c r="E149" i="34"/>
  <c r="E153" i="34"/>
  <c r="E157" i="34"/>
  <c r="E161" i="34"/>
  <c r="E165" i="34"/>
  <c r="E169" i="34"/>
  <c r="E173" i="34"/>
  <c r="E177" i="34"/>
  <c r="E181" i="34"/>
  <c r="E185" i="34"/>
  <c r="E189" i="34"/>
  <c r="E193" i="34"/>
  <c r="E197" i="34"/>
  <c r="E201" i="34"/>
  <c r="E205" i="34"/>
  <c r="E209" i="34"/>
  <c r="E213" i="34"/>
  <c r="E66" i="34"/>
  <c r="E74" i="34"/>
  <c r="E82" i="34"/>
  <c r="E90" i="34"/>
  <c r="E98" i="34"/>
  <c r="E106" i="34"/>
  <c r="E114" i="34"/>
  <c r="E122" i="34"/>
  <c r="E130" i="34"/>
  <c r="E138" i="34"/>
  <c r="E146" i="34"/>
  <c r="E154" i="34"/>
  <c r="E162" i="34"/>
  <c r="E170" i="34"/>
  <c r="E178" i="34"/>
  <c r="E186" i="34"/>
  <c r="E194" i="34"/>
  <c r="E202" i="34"/>
  <c r="E210" i="34"/>
  <c r="E67" i="34"/>
  <c r="E75" i="34"/>
  <c r="E83" i="34"/>
  <c r="E91" i="34"/>
  <c r="E99" i="34"/>
  <c r="E107" i="34"/>
  <c r="E115" i="34"/>
  <c r="E123" i="34"/>
  <c r="E131" i="34"/>
  <c r="E139" i="34"/>
  <c r="E147" i="34"/>
  <c r="E155" i="34"/>
  <c r="E163" i="34"/>
  <c r="E171" i="34"/>
  <c r="E179" i="34"/>
  <c r="E187" i="34"/>
  <c r="E195" i="34"/>
  <c r="E203" i="34"/>
  <c r="E211" i="34"/>
  <c r="E31" i="7"/>
  <c r="F31" i="7" s="1"/>
  <c r="G31" i="7" s="1"/>
  <c r="H31" i="7" s="1"/>
  <c r="I31" i="7" s="1"/>
  <c r="J31" i="7" s="1"/>
  <c r="K31" i="7" s="1"/>
  <c r="L31" i="7" s="1"/>
  <c r="M31" i="7" s="1"/>
  <c r="N31" i="7" s="1"/>
  <c r="O31" i="7" s="1"/>
  <c r="S34" i="19"/>
  <c r="T27" i="19"/>
  <c r="T23" i="19"/>
  <c r="F34" i="19"/>
  <c r="E27" i="7"/>
  <c r="F27" i="7" s="1"/>
  <c r="G27" i="7" s="1"/>
  <c r="H27" i="7" s="1"/>
  <c r="I27" i="7" s="1"/>
  <c r="J27" i="7" s="1"/>
  <c r="K27" i="7" s="1"/>
  <c r="L27" i="7" s="1"/>
  <c r="M27" i="7" s="1"/>
  <c r="N27" i="7" s="1"/>
  <c r="O27" i="7" s="1"/>
  <c r="F68" i="15"/>
  <c r="E26" i="7"/>
  <c r="F26" i="7" s="1"/>
  <c r="G26" i="7" s="1"/>
  <c r="H26" i="7" s="1"/>
  <c r="I26" i="7" s="1"/>
  <c r="J26" i="7" s="1"/>
  <c r="K26" i="7" s="1"/>
  <c r="L26" i="7" s="1"/>
  <c r="M26" i="7" s="1"/>
  <c r="N26" i="7" s="1"/>
  <c r="O26" i="7" s="1"/>
  <c r="E9" i="15"/>
  <c r="F9" i="15" s="1"/>
  <c r="G9" i="15" s="1"/>
  <c r="H9" i="15" s="1"/>
  <c r="I9" i="15" s="1"/>
  <c r="J9" i="15" s="1"/>
  <c r="K9" i="15" s="1"/>
  <c r="L9" i="15" s="1"/>
  <c r="M9" i="15" s="1"/>
  <c r="N9" i="15" s="1"/>
  <c r="O9" i="15" s="1"/>
  <c r="D11" i="7"/>
  <c r="E11" i="7" s="1"/>
  <c r="F11" i="7" s="1"/>
  <c r="G11" i="7" s="1"/>
  <c r="H11" i="7" s="1"/>
  <c r="I11" i="7" s="1"/>
  <c r="J11" i="7" s="1"/>
  <c r="K11" i="7" s="1"/>
  <c r="L11" i="7" s="1"/>
  <c r="M11" i="7" s="1"/>
  <c r="N11" i="7" s="1"/>
  <c r="O11" i="7" s="1"/>
  <c r="F54" i="1"/>
  <c r="E25" i="7"/>
  <c r="F25" i="7" s="1"/>
  <c r="G25" i="7" s="1"/>
  <c r="H25" i="7" s="1"/>
  <c r="I25" i="7" s="1"/>
  <c r="J25" i="7" s="1"/>
  <c r="K25" i="7" s="1"/>
  <c r="L25" i="7" s="1"/>
  <c r="M25" i="7" s="1"/>
  <c r="N25" i="7" s="1"/>
  <c r="O25" i="7" s="1"/>
  <c r="E16" i="7"/>
  <c r="F16" i="7" s="1"/>
  <c r="G16" i="7" s="1"/>
  <c r="H16" i="7" s="1"/>
  <c r="I16" i="7" s="1"/>
  <c r="J16" i="7" s="1"/>
  <c r="K16" i="7" s="1"/>
  <c r="L16" i="7" s="1"/>
  <c r="M16" i="7" s="1"/>
  <c r="N16" i="7" s="1"/>
  <c r="O16" i="7" s="1"/>
  <c r="D18" i="22"/>
  <c r="C57" i="15"/>
  <c r="C39" i="7" s="1"/>
  <c r="H17" i="7"/>
  <c r="I17" i="7" s="1"/>
  <c r="J17" i="7" s="1"/>
  <c r="K17" i="7" s="1"/>
  <c r="L17" i="7" s="1"/>
  <c r="M17" i="7" s="1"/>
  <c r="N17" i="7" s="1"/>
  <c r="O17" i="7" s="1"/>
  <c r="G9" i="16"/>
  <c r="D49" i="15"/>
  <c r="F108" i="34"/>
  <c r="F104" i="34"/>
  <c r="F100" i="34"/>
  <c r="F96" i="34"/>
  <c r="F92" i="34"/>
  <c r="F88" i="34"/>
  <c r="F84" i="34"/>
  <c r="F80" i="34"/>
  <c r="F76" i="34"/>
  <c r="F72" i="34"/>
  <c r="H18" i="7"/>
  <c r="I18" i="7" s="1"/>
  <c r="J18" i="7" s="1"/>
  <c r="K18" i="7" s="1"/>
  <c r="L18" i="7" s="1"/>
  <c r="M18" i="7" s="1"/>
  <c r="N18" i="7" s="1"/>
  <c r="O18" i="7" s="1"/>
  <c r="D12" i="7"/>
  <c r="E12" i="7" s="1"/>
  <c r="F12" i="7" s="1"/>
  <c r="G12" i="7" s="1"/>
  <c r="H12" i="7" s="1"/>
  <c r="I12" i="7" s="1"/>
  <c r="J12" i="7" s="1"/>
  <c r="K12" i="7" s="1"/>
  <c r="L12" i="7" s="1"/>
  <c r="M12" i="7" s="1"/>
  <c r="N12" i="7" s="1"/>
  <c r="O12" i="7" s="1"/>
  <c r="C14" i="7"/>
  <c r="C19" i="7" s="1"/>
  <c r="C21" i="7" s="1"/>
  <c r="D8" i="7"/>
  <c r="D33" i="7"/>
  <c r="E33" i="7" s="1"/>
  <c r="F33" i="7" s="1"/>
  <c r="G33" i="7" s="1"/>
  <c r="H33" i="7" s="1"/>
  <c r="I33" i="7" s="1"/>
  <c r="J33" i="7" s="1"/>
  <c r="K33" i="7" s="1"/>
  <c r="L33" i="7" s="1"/>
  <c r="M33" i="7" s="1"/>
  <c r="N33" i="7" s="1"/>
  <c r="O33" i="7" s="1"/>
  <c r="E13" i="7"/>
  <c r="F13" i="7" s="1"/>
  <c r="G13" i="7" s="1"/>
  <c r="H13" i="7" s="1"/>
  <c r="I13" i="7" s="1"/>
  <c r="J13" i="7" s="1"/>
  <c r="K13" i="7" s="1"/>
  <c r="L13" i="7" s="1"/>
  <c r="M13" i="7" s="1"/>
  <c r="N13" i="7" s="1"/>
  <c r="O13" i="7" s="1"/>
  <c r="H9" i="7"/>
  <c r="I9" i="7" s="1"/>
  <c r="J9" i="7" s="1"/>
  <c r="K9" i="7" s="1"/>
  <c r="L9" i="7" s="1"/>
  <c r="M9" i="7" s="1"/>
  <c r="N9" i="7" s="1"/>
  <c r="O9" i="7" s="1"/>
  <c r="G78" i="34" l="1"/>
  <c r="G134" i="34"/>
  <c r="G165" i="34"/>
  <c r="G123" i="34"/>
  <c r="G198" i="34"/>
  <c r="G166" i="34"/>
  <c r="G201" i="34"/>
  <c r="G182" i="34"/>
  <c r="G71" i="34"/>
  <c r="J11" i="17"/>
  <c r="H11" i="17"/>
  <c r="H34" i="19"/>
  <c r="P34" i="19"/>
  <c r="G135" i="34"/>
  <c r="M8" i="22"/>
  <c r="G183" i="34"/>
  <c r="G206" i="34"/>
  <c r="D37" i="23"/>
  <c r="D39" i="7"/>
  <c r="G150" i="34"/>
  <c r="G139" i="34"/>
  <c r="G107" i="34"/>
  <c r="G153" i="34"/>
  <c r="G181" i="34"/>
  <c r="G159" i="34"/>
  <c r="G79" i="34"/>
  <c r="G185" i="34"/>
  <c r="G177" i="34"/>
  <c r="G207" i="34"/>
  <c r="G143" i="34"/>
  <c r="E30" i="18"/>
  <c r="F30" i="18" s="1"/>
  <c r="D36" i="7"/>
  <c r="D10" i="8" s="1"/>
  <c r="F21" i="1"/>
  <c r="D27" i="8" s="1"/>
  <c r="D36" i="8" s="1"/>
  <c r="G205" i="34"/>
  <c r="G119" i="34"/>
  <c r="G142" i="34"/>
  <c r="G102" i="34"/>
  <c r="G94" i="34"/>
  <c r="G173" i="34"/>
  <c r="G157" i="34"/>
  <c r="G87" i="34"/>
  <c r="G126" i="34"/>
  <c r="G86" i="34"/>
  <c r="G70" i="34"/>
  <c r="G193" i="34"/>
  <c r="G199" i="34"/>
  <c r="G214" i="34"/>
  <c r="G158" i="34"/>
  <c r="G75" i="34"/>
  <c r="G169" i="34"/>
  <c r="G175" i="34"/>
  <c r="G197" i="34"/>
  <c r="G133" i="34"/>
  <c r="G191" i="34"/>
  <c r="G111" i="34"/>
  <c r="G91" i="34"/>
  <c r="G209" i="34"/>
  <c r="G151" i="34"/>
  <c r="G95" i="34"/>
  <c r="G189" i="34"/>
  <c r="G110" i="34"/>
  <c r="C45" i="8"/>
  <c r="J34" i="19"/>
  <c r="E10" i="7"/>
  <c r="F10" i="7" s="1"/>
  <c r="G10" i="7" s="1"/>
  <c r="H10" i="7" s="1"/>
  <c r="I10" i="7" s="1"/>
  <c r="J10" i="7" s="1"/>
  <c r="K10" i="7" s="1"/>
  <c r="L10" i="7" s="1"/>
  <c r="M10" i="7" s="1"/>
  <c r="N10" i="7" s="1"/>
  <c r="O10" i="7" s="1"/>
  <c r="G213" i="34"/>
  <c r="G149" i="34"/>
  <c r="G101" i="34"/>
  <c r="G103" i="34"/>
  <c r="F55" i="1"/>
  <c r="E39" i="7" s="1"/>
  <c r="E60" i="1"/>
  <c r="F11" i="16"/>
  <c r="F13" i="16" s="1"/>
  <c r="C50" i="15"/>
  <c r="G161" i="34"/>
  <c r="G167" i="34"/>
  <c r="G190" i="34"/>
  <c r="G174" i="34"/>
  <c r="G127" i="34"/>
  <c r="K59" i="15"/>
  <c r="BV77" i="1"/>
  <c r="E24" i="1"/>
  <c r="C36" i="8"/>
  <c r="C22" i="7"/>
  <c r="C29" i="7" s="1"/>
  <c r="G137" i="34"/>
  <c r="G105" i="34"/>
  <c r="G73" i="34"/>
  <c r="G211" i="34"/>
  <c r="G179" i="34"/>
  <c r="G147" i="34"/>
  <c r="G109" i="34"/>
  <c r="G196" i="34"/>
  <c r="G148" i="34"/>
  <c r="G93" i="34"/>
  <c r="G202" i="34"/>
  <c r="G194" i="34"/>
  <c r="G170" i="34"/>
  <c r="G162" i="34"/>
  <c r="G132" i="34"/>
  <c r="G116" i="34"/>
  <c r="G68" i="34"/>
  <c r="G83" i="34"/>
  <c r="G212" i="34"/>
  <c r="G180" i="34"/>
  <c r="G164" i="34"/>
  <c r="F62" i="34"/>
  <c r="D45" i="8"/>
  <c r="G55" i="1"/>
  <c r="G45" i="23" s="1"/>
  <c r="E9" i="1"/>
  <c r="E11" i="1"/>
  <c r="E28" i="7"/>
  <c r="F24" i="7"/>
  <c r="G117" i="34"/>
  <c r="D40" i="8"/>
  <c r="G195" i="34"/>
  <c r="G163" i="34"/>
  <c r="G188" i="34"/>
  <c r="G156" i="34"/>
  <c r="H20" i="1"/>
  <c r="E40" i="8"/>
  <c r="G18" i="22"/>
  <c r="F57" i="15"/>
  <c r="H9" i="22"/>
  <c r="F13" i="19"/>
  <c r="I40" i="8"/>
  <c r="E63" i="34"/>
  <c r="E62" i="34"/>
  <c r="H19" i="16"/>
  <c r="G186" i="34"/>
  <c r="G97" i="34"/>
  <c r="G124" i="34"/>
  <c r="G100" i="34"/>
  <c r="G84" i="34"/>
  <c r="F40" i="8"/>
  <c r="E26" i="8"/>
  <c r="O6" i="22"/>
  <c r="N7" i="22"/>
  <c r="N8" i="22" s="1"/>
  <c r="P46" i="1"/>
  <c r="O34" i="19"/>
  <c r="O11" i="17"/>
  <c r="E34" i="7"/>
  <c r="F34" i="7" s="1"/>
  <c r="G34" i="7" s="1"/>
  <c r="H34" i="7" s="1"/>
  <c r="I34" i="7" s="1"/>
  <c r="J34" i="7" s="1"/>
  <c r="K34" i="7" s="1"/>
  <c r="L34" i="7" s="1"/>
  <c r="M34" i="7" s="1"/>
  <c r="N34" i="7" s="1"/>
  <c r="O34" i="7" s="1"/>
  <c r="H40" i="8"/>
  <c r="E8" i="7"/>
  <c r="D14" i="7"/>
  <c r="D19" i="7" s="1"/>
  <c r="D21" i="7" s="1"/>
  <c r="BW77" i="1"/>
  <c r="F63" i="34"/>
  <c r="G203" i="34"/>
  <c r="G187" i="34"/>
  <c r="G171" i="34"/>
  <c r="G155" i="34"/>
  <c r="G115" i="34"/>
  <c r="G141" i="34"/>
  <c r="G77" i="34"/>
  <c r="G208" i="34"/>
  <c r="G200" i="34"/>
  <c r="G192" i="34"/>
  <c r="G184" i="34"/>
  <c r="G176" i="34"/>
  <c r="G168" i="34"/>
  <c r="G160" i="34"/>
  <c r="G152" i="34"/>
  <c r="G121" i="34"/>
  <c r="G89" i="34"/>
  <c r="G146" i="34"/>
  <c r="G138" i="34"/>
  <c r="G130" i="34"/>
  <c r="G122" i="34"/>
  <c r="G114" i="34"/>
  <c r="G106" i="34"/>
  <c r="G98" i="34"/>
  <c r="G90" i="34"/>
  <c r="G82" i="34"/>
  <c r="G74" i="34"/>
  <c r="G66" i="34"/>
  <c r="M65" i="15"/>
  <c r="L59" i="15"/>
  <c r="E36" i="7"/>
  <c r="G204" i="34"/>
  <c r="G172" i="34"/>
  <c r="M46" i="1"/>
  <c r="L11" i="17"/>
  <c r="L34" i="19"/>
  <c r="L11" i="22" s="1"/>
  <c r="T32" i="19"/>
  <c r="T34" i="19" s="1"/>
  <c r="P11" i="22" s="1"/>
  <c r="D24" i="23"/>
  <c r="G131" i="34"/>
  <c r="G67" i="34"/>
  <c r="G210" i="34"/>
  <c r="G178" i="34"/>
  <c r="G154" i="34"/>
  <c r="G129" i="34"/>
  <c r="D62" i="34"/>
  <c r="G65" i="34"/>
  <c r="D63" i="34"/>
  <c r="G140" i="34"/>
  <c r="G108" i="34"/>
  <c r="G92" i="34"/>
  <c r="G76" i="34"/>
  <c r="H9" i="16"/>
  <c r="E49" i="15"/>
  <c r="D8" i="21"/>
  <c r="D8" i="17"/>
  <c r="G54" i="1"/>
  <c r="D46" i="8"/>
  <c r="D16" i="8"/>
  <c r="G44" i="1"/>
  <c r="G85" i="34"/>
  <c r="G99" i="34"/>
  <c r="G125" i="34"/>
  <c r="G145" i="34"/>
  <c r="G113" i="34"/>
  <c r="G81" i="34"/>
  <c r="G144" i="34"/>
  <c r="G136" i="34"/>
  <c r="G128" i="34"/>
  <c r="G120" i="34"/>
  <c r="G112" i="34"/>
  <c r="G104" i="34"/>
  <c r="G96" i="34"/>
  <c r="G88" i="34"/>
  <c r="G80" i="34"/>
  <c r="G72" i="34"/>
  <c r="C12" i="22"/>
  <c r="G40" i="8"/>
  <c r="D38" i="1"/>
  <c r="D78" i="1" s="1"/>
  <c r="B37" i="7"/>
  <c r="D11" i="23"/>
  <c r="D12" i="23" s="1"/>
  <c r="D51" i="23"/>
  <c r="C51" i="15"/>
  <c r="K11" i="17"/>
  <c r="L46" i="1"/>
  <c r="K34" i="19"/>
  <c r="M40" i="8"/>
  <c r="G21" i="1" l="1"/>
  <c r="F45" i="23"/>
  <c r="F60" i="1"/>
  <c r="F39" i="7"/>
  <c r="D7" i="17"/>
  <c r="D7" i="21"/>
  <c r="F22" i="1"/>
  <c r="G22" i="1" s="1"/>
  <c r="O11" i="22"/>
  <c r="D50" i="15"/>
  <c r="G10" i="16"/>
  <c r="G11" i="16" s="1"/>
  <c r="E46" i="23"/>
  <c r="C64" i="7"/>
  <c r="D22" i="7"/>
  <c r="D29" i="7" s="1"/>
  <c r="C61" i="7"/>
  <c r="H44" i="1"/>
  <c r="E16" i="8"/>
  <c r="E46" i="8"/>
  <c r="H54" i="1"/>
  <c r="G60" i="1"/>
  <c r="F11" i="1"/>
  <c r="D13" i="8" s="1"/>
  <c r="F9" i="1"/>
  <c r="E7" i="21"/>
  <c r="E10" i="8"/>
  <c r="E7" i="17"/>
  <c r="J11" i="22"/>
  <c r="D11" i="22"/>
  <c r="N65" i="15"/>
  <c r="M59" i="15"/>
  <c r="C11" i="22"/>
  <c r="E14" i="7"/>
  <c r="E19" i="7" s="1"/>
  <c r="E21" i="7" s="1"/>
  <c r="F8" i="7"/>
  <c r="H18" i="22"/>
  <c r="G57" i="15"/>
  <c r="I9" i="22"/>
  <c r="G13" i="19"/>
  <c r="I20" i="1"/>
  <c r="G26" i="8"/>
  <c r="I19" i="16"/>
  <c r="K11" i="22"/>
  <c r="G11" i="22"/>
  <c r="D51" i="15"/>
  <c r="G12" i="16"/>
  <c r="B43" i="7"/>
  <c r="D52" i="23"/>
  <c r="H11" i="22"/>
  <c r="F11" i="22"/>
  <c r="K40" i="8"/>
  <c r="I11" i="22"/>
  <c r="H21" i="1"/>
  <c r="G30" i="18"/>
  <c r="F26" i="8"/>
  <c r="H55" i="1"/>
  <c r="E45" i="8"/>
  <c r="E8" i="23"/>
  <c r="C35" i="7"/>
  <c r="F28" i="7"/>
  <c r="G24" i="7"/>
  <c r="D12" i="8"/>
  <c r="C12" i="8"/>
  <c r="E34" i="23"/>
  <c r="F36" i="7"/>
  <c r="N40" i="8"/>
  <c r="J40" i="8"/>
  <c r="D43" i="23"/>
  <c r="D77" i="1"/>
  <c r="I9" i="16"/>
  <c r="F49" i="15"/>
  <c r="G62" i="34"/>
  <c r="G63" i="34"/>
  <c r="M11" i="22"/>
  <c r="E11" i="22"/>
  <c r="E38" i="23"/>
  <c r="E27" i="8"/>
  <c r="E36" i="8" s="1"/>
  <c r="N11" i="22"/>
  <c r="O40" i="8"/>
  <c r="E8" i="21"/>
  <c r="E8" i="17"/>
  <c r="L40" i="8"/>
  <c r="O7" i="22"/>
  <c r="O8" i="22" s="1"/>
  <c r="P6" i="22"/>
  <c r="C13" i="8"/>
  <c r="G20" i="16"/>
  <c r="E33" i="23"/>
  <c r="E31" i="23"/>
  <c r="P7" i="22" l="1"/>
  <c r="P8" i="22"/>
  <c r="E35" i="23"/>
  <c r="G13" i="16"/>
  <c r="F46" i="23"/>
  <c r="F24" i="1"/>
  <c r="D61" i="7"/>
  <c r="E50" i="15"/>
  <c r="H10" i="16"/>
  <c r="H11" i="16" s="1"/>
  <c r="E22" i="7"/>
  <c r="F22" i="7" s="1"/>
  <c r="D64" i="7"/>
  <c r="F8" i="21"/>
  <c r="F8" i="17"/>
  <c r="C15" i="22"/>
  <c r="C14" i="22"/>
  <c r="C13" i="22"/>
  <c r="H22" i="1"/>
  <c r="G24" i="1"/>
  <c r="F34" i="23"/>
  <c r="F38" i="23"/>
  <c r="H24" i="7"/>
  <c r="G28" i="7"/>
  <c r="C37" i="7"/>
  <c r="D34" i="20"/>
  <c r="E11" i="23"/>
  <c r="E12" i="23" s="1"/>
  <c r="C28" i="18"/>
  <c r="E51" i="23"/>
  <c r="D9" i="23"/>
  <c r="D49" i="23"/>
  <c r="B51" i="7"/>
  <c r="B53" i="7" s="1"/>
  <c r="I18" i="22"/>
  <c r="H57" i="15"/>
  <c r="H13" i="19"/>
  <c r="J9" i="22"/>
  <c r="H20" i="16"/>
  <c r="F33" i="23"/>
  <c r="F31" i="23"/>
  <c r="H21" i="16"/>
  <c r="G22" i="16"/>
  <c r="E43" i="1" s="1"/>
  <c r="F8" i="23"/>
  <c r="D35" i="7"/>
  <c r="F27" i="8"/>
  <c r="F36" i="8" s="1"/>
  <c r="J19" i="16"/>
  <c r="G8" i="7"/>
  <c r="F14" i="7"/>
  <c r="F19" i="7" s="1"/>
  <c r="F21" i="7" s="1"/>
  <c r="O65" i="15"/>
  <c r="O59" i="15" s="1"/>
  <c r="N59" i="15"/>
  <c r="I44" i="1"/>
  <c r="F16" i="8"/>
  <c r="J9" i="16"/>
  <c r="G49" i="15"/>
  <c r="G36" i="7"/>
  <c r="G11" i="1"/>
  <c r="G9" i="1"/>
  <c r="E12" i="8" s="1"/>
  <c r="F7" i="21"/>
  <c r="F10" i="8"/>
  <c r="F7" i="17"/>
  <c r="F45" i="8"/>
  <c r="I55" i="1"/>
  <c r="G39" i="7"/>
  <c r="H45" i="23"/>
  <c r="G70" i="15"/>
  <c r="I21" i="1" s="1"/>
  <c r="H30" i="18"/>
  <c r="E51" i="15"/>
  <c r="H12" i="16"/>
  <c r="J20" i="1"/>
  <c r="F46" i="8"/>
  <c r="I54" i="1"/>
  <c r="H60" i="1"/>
  <c r="H13" i="16" l="1"/>
  <c r="F35" i="23"/>
  <c r="C19" i="22"/>
  <c r="G46" i="23"/>
  <c r="E64" i="7"/>
  <c r="E29" i="7"/>
  <c r="G8" i="23" s="1"/>
  <c r="E61" i="7"/>
  <c r="G38" i="23"/>
  <c r="F50" i="15"/>
  <c r="I10" i="16"/>
  <c r="I11" i="16" s="1"/>
  <c r="I22" i="1"/>
  <c r="I24" i="1" s="1"/>
  <c r="H70" i="15"/>
  <c r="J21" i="1" s="1"/>
  <c r="H27" i="8" s="1"/>
  <c r="I30" i="18"/>
  <c r="H36" i="7"/>
  <c r="G16" i="8"/>
  <c r="J44" i="1"/>
  <c r="K20" i="1"/>
  <c r="I26" i="8" s="1"/>
  <c r="G8" i="21"/>
  <c r="G8" i="17"/>
  <c r="F29" i="7"/>
  <c r="G22" i="7"/>
  <c r="F61" i="7"/>
  <c r="H46" i="23"/>
  <c r="F64" i="7"/>
  <c r="H49" i="15"/>
  <c r="K9" i="16"/>
  <c r="H8" i="7"/>
  <c r="G14" i="7"/>
  <c r="G19" i="7" s="1"/>
  <c r="G21" i="7" s="1"/>
  <c r="D37" i="7"/>
  <c r="D28" i="18"/>
  <c r="E34" i="20"/>
  <c r="F11" i="23"/>
  <c r="F12" i="23" s="1"/>
  <c r="F51" i="23"/>
  <c r="E13" i="8"/>
  <c r="J18" i="22"/>
  <c r="I57" i="15"/>
  <c r="K9" i="22"/>
  <c r="I13" i="19"/>
  <c r="H26" i="8"/>
  <c r="G27" i="8"/>
  <c r="G36" i="8" s="1"/>
  <c r="H11" i="1"/>
  <c r="H9" i="1"/>
  <c r="I21" i="16"/>
  <c r="H22" i="16"/>
  <c r="F43" i="1" s="1"/>
  <c r="C6" i="21"/>
  <c r="C43" i="7"/>
  <c r="E52" i="23"/>
  <c r="I20" i="16"/>
  <c r="F13" i="8"/>
  <c r="G33" i="23"/>
  <c r="G31" i="23"/>
  <c r="C57" i="7"/>
  <c r="C51" i="8" s="1"/>
  <c r="C57" i="8" s="1"/>
  <c r="D50" i="23"/>
  <c r="D14" i="23"/>
  <c r="D53" i="23"/>
  <c r="B55" i="7"/>
  <c r="D10" i="23"/>
  <c r="D13" i="23" s="1"/>
  <c r="D27" i="23" s="1"/>
  <c r="I24" i="7"/>
  <c r="H28" i="7"/>
  <c r="G46" i="8"/>
  <c r="J54" i="1"/>
  <c r="I60" i="1"/>
  <c r="F51" i="15"/>
  <c r="I12" i="16"/>
  <c r="J55" i="1"/>
  <c r="G45" i="8"/>
  <c r="I45" i="23"/>
  <c r="H39" i="7"/>
  <c r="C15" i="8"/>
  <c r="C18" i="8" s="1"/>
  <c r="E51" i="1"/>
  <c r="E36" i="23"/>
  <c r="E37" i="23" s="1"/>
  <c r="E48" i="23"/>
  <c r="G34" i="23"/>
  <c r="G7" i="21"/>
  <c r="G10" i="8"/>
  <c r="G7" i="17"/>
  <c r="K19" i="16"/>
  <c r="C24" i="17"/>
  <c r="C29" i="21"/>
  <c r="H24" i="1"/>
  <c r="H38" i="23" l="1"/>
  <c r="E35" i="7"/>
  <c r="G11" i="23" s="1"/>
  <c r="G12" i="23" s="1"/>
  <c r="I13" i="16"/>
  <c r="F12" i="8"/>
  <c r="J10" i="16"/>
  <c r="J11" i="16" s="1"/>
  <c r="G50" i="15"/>
  <c r="G51" i="15"/>
  <c r="J12" i="16"/>
  <c r="K44" i="1"/>
  <c r="H16" i="8"/>
  <c r="H7" i="21"/>
  <c r="H10" i="8"/>
  <c r="H7" i="17"/>
  <c r="C9" i="21"/>
  <c r="C9" i="17"/>
  <c r="L19" i="16"/>
  <c r="C45" i="7"/>
  <c r="C47" i="7" s="1"/>
  <c r="C51" i="7" s="1"/>
  <c r="C53" i="7" s="1"/>
  <c r="E49" i="23"/>
  <c r="E9" i="23"/>
  <c r="I11" i="1"/>
  <c r="G13" i="8" s="1"/>
  <c r="I9" i="1"/>
  <c r="J30" i="18"/>
  <c r="I70" i="15"/>
  <c r="H45" i="8"/>
  <c r="K55" i="1"/>
  <c r="J45" i="23"/>
  <c r="I39" i="7"/>
  <c r="I28" i="7"/>
  <c r="J24" i="7"/>
  <c r="C10" i="21"/>
  <c r="H34" i="23"/>
  <c r="K18" i="22"/>
  <c r="L9" i="22"/>
  <c r="J57" i="15"/>
  <c r="J13" i="19"/>
  <c r="D6" i="21"/>
  <c r="F52" i="23"/>
  <c r="I49" i="15"/>
  <c r="L9" i="16"/>
  <c r="L20" i="1"/>
  <c r="J26" i="8" s="1"/>
  <c r="H8" i="21"/>
  <c r="H8" i="17"/>
  <c r="H36" i="8"/>
  <c r="H14" i="7"/>
  <c r="H19" i="7" s="1"/>
  <c r="H21" i="7" s="1"/>
  <c r="I8" i="7"/>
  <c r="H22" i="7"/>
  <c r="G29" i="7"/>
  <c r="G61" i="7"/>
  <c r="I46" i="23"/>
  <c r="G64" i="7"/>
  <c r="J21" i="16"/>
  <c r="I22" i="16"/>
  <c r="G43" i="1" s="1"/>
  <c r="H8" i="23"/>
  <c r="F35" i="7"/>
  <c r="J60" i="1"/>
  <c r="H46" i="8"/>
  <c r="K54" i="1"/>
  <c r="G35" i="23"/>
  <c r="D15" i="8"/>
  <c r="D18" i="8" s="1"/>
  <c r="F51" i="1"/>
  <c r="F36" i="23"/>
  <c r="F37" i="23" s="1"/>
  <c r="F48" i="23"/>
  <c r="J20" i="16"/>
  <c r="H33" i="23"/>
  <c r="H31" i="23"/>
  <c r="J22" i="1"/>
  <c r="I36" i="7"/>
  <c r="H35" i="23" l="1"/>
  <c r="G51" i="23"/>
  <c r="F34" i="20"/>
  <c r="E37" i="7"/>
  <c r="E6" i="21" s="1"/>
  <c r="E28" i="18"/>
  <c r="J13" i="16"/>
  <c r="K10" i="16"/>
  <c r="K11" i="16" s="1"/>
  <c r="H50" i="15"/>
  <c r="I7" i="21"/>
  <c r="I10" i="8"/>
  <c r="I7" i="17"/>
  <c r="I34" i="23"/>
  <c r="K22" i="1"/>
  <c r="J24" i="1"/>
  <c r="I38" i="23"/>
  <c r="J28" i="7"/>
  <c r="K24" i="7"/>
  <c r="K30" i="18"/>
  <c r="J70" i="15"/>
  <c r="C55" i="7"/>
  <c r="D57" i="7"/>
  <c r="D51" i="8" s="1"/>
  <c r="D57" i="8" s="1"/>
  <c r="E50" i="23"/>
  <c r="C59" i="7"/>
  <c r="E73" i="1" s="1"/>
  <c r="E10" i="23"/>
  <c r="E13" i="23" s="1"/>
  <c r="C8" i="8"/>
  <c r="C20" i="8" s="1"/>
  <c r="C58" i="8" s="1"/>
  <c r="C6" i="17"/>
  <c r="C12" i="17" s="1"/>
  <c r="E53" i="23"/>
  <c r="H51" i="15"/>
  <c r="K12" i="16"/>
  <c r="K21" i="16"/>
  <c r="J22" i="16"/>
  <c r="H43" i="1" s="1"/>
  <c r="D9" i="21"/>
  <c r="D10" i="21" s="1"/>
  <c r="D9" i="17"/>
  <c r="H29" i="7"/>
  <c r="I22" i="7"/>
  <c r="H61" i="7"/>
  <c r="H64" i="7"/>
  <c r="J46" i="23"/>
  <c r="M19" i="16"/>
  <c r="I46" i="8"/>
  <c r="L54" i="1"/>
  <c r="K60" i="1"/>
  <c r="F37" i="7"/>
  <c r="G34" i="20"/>
  <c r="F28" i="18"/>
  <c r="H51" i="23"/>
  <c r="H11" i="23"/>
  <c r="H12" i="23" s="1"/>
  <c r="J49" i="15"/>
  <c r="M9" i="16"/>
  <c r="I8" i="21"/>
  <c r="I8" i="17"/>
  <c r="I8" i="23"/>
  <c r="G35" i="7"/>
  <c r="M20" i="1"/>
  <c r="K26" i="8" s="1"/>
  <c r="K20" i="16"/>
  <c r="I33" i="23"/>
  <c r="I35" i="23" s="1"/>
  <c r="I31" i="23"/>
  <c r="K21" i="1"/>
  <c r="E15" i="8"/>
  <c r="E18" i="8" s="1"/>
  <c r="G51" i="1"/>
  <c r="G36" i="23"/>
  <c r="G37" i="23" s="1"/>
  <c r="G48" i="23"/>
  <c r="I14" i="7"/>
  <c r="I19" i="7" s="1"/>
  <c r="I21" i="7" s="1"/>
  <c r="J8" i="7"/>
  <c r="J11" i="1"/>
  <c r="J9" i="1"/>
  <c r="H12" i="8" s="1"/>
  <c r="L18" i="22"/>
  <c r="K57" i="15"/>
  <c r="M9" i="22"/>
  <c r="K13" i="19"/>
  <c r="G12" i="8"/>
  <c r="I45" i="8"/>
  <c r="L55" i="1"/>
  <c r="K45" i="23"/>
  <c r="J39" i="7"/>
  <c r="L44" i="1"/>
  <c r="I16" i="8"/>
  <c r="K13" i="16" l="1"/>
  <c r="G52" i="23"/>
  <c r="I50" i="15"/>
  <c r="L10" i="16"/>
  <c r="L11" i="16" s="1"/>
  <c r="L20" i="16"/>
  <c r="J33" i="23"/>
  <c r="J31" i="23"/>
  <c r="E9" i="21"/>
  <c r="E10" i="21" s="1"/>
  <c r="E9" i="17"/>
  <c r="J46" i="8"/>
  <c r="M54" i="1"/>
  <c r="L60" i="1"/>
  <c r="J8" i="23"/>
  <c r="H35" i="7"/>
  <c r="J8" i="21"/>
  <c r="J8" i="17"/>
  <c r="J16" i="8"/>
  <c r="M44" i="1"/>
  <c r="G37" i="7"/>
  <c r="G28" i="18"/>
  <c r="H28" i="18"/>
  <c r="I51" i="23"/>
  <c r="I11" i="23"/>
  <c r="I12" i="23" s="1"/>
  <c r="H34" i="20"/>
  <c r="F6" i="21"/>
  <c r="H52" i="23"/>
  <c r="C61" i="8"/>
  <c r="E15" i="23"/>
  <c r="E16" i="23" s="1"/>
  <c r="L30" i="18"/>
  <c r="K70" i="15"/>
  <c r="J36" i="7"/>
  <c r="L21" i="1"/>
  <c r="J27" i="8" s="1"/>
  <c r="J36" i="8" s="1"/>
  <c r="K24" i="1"/>
  <c r="I27" i="8"/>
  <c r="I36" i="8" s="1"/>
  <c r="L21" i="16"/>
  <c r="K22" i="16"/>
  <c r="I43" i="1" s="1"/>
  <c r="K9" i="1"/>
  <c r="K11" i="1"/>
  <c r="E74" i="1"/>
  <c r="D10" i="22" s="1"/>
  <c r="N19" i="16"/>
  <c r="N20" i="1"/>
  <c r="L26" i="8" s="1"/>
  <c r="N9" i="16"/>
  <c r="K49" i="15"/>
  <c r="F15" i="8"/>
  <c r="F18" i="8" s="1"/>
  <c r="H36" i="23"/>
  <c r="H37" i="23" s="1"/>
  <c r="H51" i="1"/>
  <c r="H48" i="23"/>
  <c r="J45" i="8"/>
  <c r="M55" i="1"/>
  <c r="L45" i="23"/>
  <c r="K39" i="7"/>
  <c r="M18" i="22"/>
  <c r="L13" i="19"/>
  <c r="N9" i="22"/>
  <c r="L57" i="15"/>
  <c r="I12" i="8"/>
  <c r="J34" i="23"/>
  <c r="J14" i="7"/>
  <c r="J19" i="7" s="1"/>
  <c r="J21" i="7" s="1"/>
  <c r="K8" i="7"/>
  <c r="H13" i="8"/>
  <c r="J38" i="23"/>
  <c r="J22" i="7"/>
  <c r="I29" i="7"/>
  <c r="I64" i="7"/>
  <c r="I61" i="7"/>
  <c r="K46" i="23"/>
  <c r="I51" i="15"/>
  <c r="L12" i="16"/>
  <c r="K28" i="7"/>
  <c r="L24" i="7"/>
  <c r="D14" i="22" l="1"/>
  <c r="D13" i="22"/>
  <c r="D16" i="22"/>
  <c r="C25" i="17" s="1"/>
  <c r="L13" i="16"/>
  <c r="E8" i="1"/>
  <c r="D38" i="7" s="1"/>
  <c r="D43" i="7" s="1"/>
  <c r="C63" i="8"/>
  <c r="J35" i="23"/>
  <c r="J50" i="15"/>
  <c r="M10" i="16"/>
  <c r="M11" i="16" s="1"/>
  <c r="K22" i="7"/>
  <c r="J61" i="7"/>
  <c r="J64" i="7"/>
  <c r="J29" i="7"/>
  <c r="L8" i="23" s="1"/>
  <c r="L46" i="23"/>
  <c r="O9" i="16"/>
  <c r="L49" i="15"/>
  <c r="E44" i="23"/>
  <c r="E55" i="23"/>
  <c r="E76" i="1"/>
  <c r="E14" i="23"/>
  <c r="M20" i="16"/>
  <c r="K33" i="23"/>
  <c r="K31" i="23"/>
  <c r="J7" i="21"/>
  <c r="J10" i="8"/>
  <c r="J7" i="17"/>
  <c r="L22" i="1"/>
  <c r="L24" i="1" s="1"/>
  <c r="L9" i="1"/>
  <c r="J12" i="8" s="1"/>
  <c r="L11" i="1"/>
  <c r="J13" i="8" s="1"/>
  <c r="H37" i="7"/>
  <c r="I28" i="18"/>
  <c r="J11" i="23"/>
  <c r="J12" i="23" s="1"/>
  <c r="I34" i="20"/>
  <c r="J51" i="23"/>
  <c r="K46" i="8"/>
  <c r="N54" i="1"/>
  <c r="M60" i="1"/>
  <c r="I13" i="8"/>
  <c r="O19" i="16"/>
  <c r="J51" i="15"/>
  <c r="M12" i="16"/>
  <c r="M13" i="16" s="1"/>
  <c r="N18" i="22"/>
  <c r="M57" i="15"/>
  <c r="O9" i="22"/>
  <c r="M13" i="19"/>
  <c r="G15" i="8"/>
  <c r="G18" i="8" s="1"/>
  <c r="I51" i="1"/>
  <c r="I36" i="23"/>
  <c r="I37" i="23" s="1"/>
  <c r="I48" i="23"/>
  <c r="K8" i="21"/>
  <c r="K8" i="17"/>
  <c r="K16" i="8"/>
  <c r="N44" i="1"/>
  <c r="M21" i="16"/>
  <c r="L22" i="16"/>
  <c r="J43" i="1" s="1"/>
  <c r="K14" i="7"/>
  <c r="K19" i="7" s="1"/>
  <c r="K21" i="7" s="1"/>
  <c r="L8" i="7"/>
  <c r="K45" i="8"/>
  <c r="N55" i="1"/>
  <c r="M45" i="23"/>
  <c r="L39" i="7"/>
  <c r="L28" i="7"/>
  <c r="M24" i="7"/>
  <c r="F9" i="21"/>
  <c r="F10" i="21" s="1"/>
  <c r="F9" i="17"/>
  <c r="K34" i="23"/>
  <c r="K38" i="23"/>
  <c r="K8" i="23"/>
  <c r="I35" i="7"/>
  <c r="O20" i="1"/>
  <c r="M26" i="8" s="1"/>
  <c r="K36" i="7"/>
  <c r="M21" i="1"/>
  <c r="K27" i="8" s="1"/>
  <c r="K36" i="8" s="1"/>
  <c r="M30" i="18"/>
  <c r="L70" i="15"/>
  <c r="G6" i="21"/>
  <c r="I52" i="23"/>
  <c r="C30" i="21" l="1"/>
  <c r="V29" i="21" s="1"/>
  <c r="D17" i="22"/>
  <c r="D19" i="22" s="1"/>
  <c r="C13" i="21" s="1"/>
  <c r="C14" i="21" s="1"/>
  <c r="D60" i="8"/>
  <c r="E15" i="1"/>
  <c r="E40" i="23" s="1"/>
  <c r="J35" i="7"/>
  <c r="J37" i="7" s="1"/>
  <c r="E26" i="23"/>
  <c r="K50" i="15"/>
  <c r="N10" i="16"/>
  <c r="N11" i="16" s="1"/>
  <c r="G9" i="21"/>
  <c r="G9" i="17"/>
  <c r="L14" i="7"/>
  <c r="L19" i="7" s="1"/>
  <c r="L21" i="7" s="1"/>
  <c r="M8" i="7"/>
  <c r="L34" i="23"/>
  <c r="M22" i="1"/>
  <c r="L8" i="21"/>
  <c r="L8" i="17"/>
  <c r="N21" i="1"/>
  <c r="L36" i="7"/>
  <c r="I37" i="7"/>
  <c r="J34" i="20"/>
  <c r="K51" i="23"/>
  <c r="K11" i="23"/>
  <c r="K12" i="23" s="1"/>
  <c r="J28" i="18"/>
  <c r="O18" i="22"/>
  <c r="P9" i="22"/>
  <c r="N57" i="15"/>
  <c r="N13" i="19"/>
  <c r="H6" i="21"/>
  <c r="J52" i="23"/>
  <c r="F9" i="23"/>
  <c r="F49" i="23"/>
  <c r="D45" i="7"/>
  <c r="D47" i="7" s="1"/>
  <c r="D51" i="7" s="1"/>
  <c r="D53" i="7" s="1"/>
  <c r="K29" i="7"/>
  <c r="M8" i="23" s="1"/>
  <c r="K61" i="7"/>
  <c r="L22" i="7"/>
  <c r="M46" i="23"/>
  <c r="K64" i="7"/>
  <c r="P19" i="16"/>
  <c r="O54" i="1"/>
  <c r="L46" i="8"/>
  <c r="N60" i="1"/>
  <c r="N20" i="16"/>
  <c r="L33" i="23"/>
  <c r="L31" i="23"/>
  <c r="N21" i="16"/>
  <c r="M22" i="16"/>
  <c r="K43" i="1" s="1"/>
  <c r="M9" i="1"/>
  <c r="M11" i="1"/>
  <c r="K13" i="8" s="1"/>
  <c r="G10" i="21"/>
  <c r="L45" i="8"/>
  <c r="O55" i="1"/>
  <c r="N45" i="23"/>
  <c r="M39" i="7"/>
  <c r="L16" i="8"/>
  <c r="O44" i="1"/>
  <c r="N30" i="18"/>
  <c r="M70" i="15"/>
  <c r="K7" i="21"/>
  <c r="K7" i="17"/>
  <c r="K10" i="8"/>
  <c r="P20" i="1"/>
  <c r="N26" i="8" s="1"/>
  <c r="M28" i="7"/>
  <c r="N24" i="7"/>
  <c r="H15" i="8"/>
  <c r="H18" i="8" s="1"/>
  <c r="J51" i="1"/>
  <c r="J36" i="23"/>
  <c r="J37" i="23" s="1"/>
  <c r="J48" i="23"/>
  <c r="K51" i="15"/>
  <c r="N12" i="16"/>
  <c r="K35" i="23"/>
  <c r="E21" i="23"/>
  <c r="E22" i="23"/>
  <c r="E23" i="23"/>
  <c r="E25" i="23"/>
  <c r="E20" i="23"/>
  <c r="E27" i="23" s="1"/>
  <c r="P9" i="16"/>
  <c r="M49" i="15"/>
  <c r="L38" i="23"/>
  <c r="N13" i="16" l="1"/>
  <c r="U29" i="21"/>
  <c r="R29" i="21"/>
  <c r="P29" i="21"/>
  <c r="Q29" i="21"/>
  <c r="T29" i="21"/>
  <c r="W29" i="21"/>
  <c r="Y29" i="21"/>
  <c r="X29" i="21"/>
  <c r="C16" i="17"/>
  <c r="C17" i="17" s="1"/>
  <c r="C18" i="17" s="1"/>
  <c r="S29" i="21"/>
  <c r="C15" i="21"/>
  <c r="K28" i="18"/>
  <c r="L11" i="23"/>
  <c r="L12" i="23" s="1"/>
  <c r="K34" i="20"/>
  <c r="L51" i="23"/>
  <c r="E41" i="23"/>
  <c r="E42" i="23"/>
  <c r="E38" i="1"/>
  <c r="E43" i="23" s="1"/>
  <c r="E47" i="23"/>
  <c r="L35" i="23"/>
  <c r="L50" i="15"/>
  <c r="O10" i="16"/>
  <c r="O11" i="16" s="1"/>
  <c r="M8" i="21"/>
  <c r="M8" i="17"/>
  <c r="D59" i="7"/>
  <c r="F73" i="1" s="1"/>
  <c r="D55" i="7"/>
  <c r="E57" i="7"/>
  <c r="E51" i="8" s="1"/>
  <c r="E57" i="8" s="1"/>
  <c r="F50" i="23"/>
  <c r="F10" i="23"/>
  <c r="F13" i="23" s="1"/>
  <c r="D8" i="8"/>
  <c r="D20" i="8" s="1"/>
  <c r="D58" i="8" s="1"/>
  <c r="F53" i="23"/>
  <c r="D6" i="17"/>
  <c r="D12" i="17" s="1"/>
  <c r="N22" i="1"/>
  <c r="N24" i="1" s="1"/>
  <c r="N70" i="15"/>
  <c r="O30" i="18"/>
  <c r="O70" i="15" s="1"/>
  <c r="O21" i="16"/>
  <c r="N22" i="16"/>
  <c r="L43" i="1" s="1"/>
  <c r="I6" i="21"/>
  <c r="K52" i="23"/>
  <c r="O21" i="1"/>
  <c r="M36" i="7"/>
  <c r="E24" i="23"/>
  <c r="N28" i="7"/>
  <c r="O24" i="7"/>
  <c r="O28" i="7" s="1"/>
  <c r="Q20" i="1"/>
  <c r="O26" i="8"/>
  <c r="M16" i="8"/>
  <c r="P44" i="1"/>
  <c r="M34" i="23"/>
  <c r="L29" i="7"/>
  <c r="N8" i="23" s="1"/>
  <c r="M22" i="7"/>
  <c r="L61" i="7"/>
  <c r="L64" i="7"/>
  <c r="N46" i="23"/>
  <c r="M24" i="1"/>
  <c r="N8" i="7"/>
  <c r="M14" i="7"/>
  <c r="M19" i="7" s="1"/>
  <c r="M21" i="7" s="1"/>
  <c r="N9" i="1"/>
  <c r="L12" i="8" s="1"/>
  <c r="N11" i="1"/>
  <c r="H9" i="21"/>
  <c r="H10" i="21" s="1"/>
  <c r="H9" i="17"/>
  <c r="M46" i="8"/>
  <c r="P54" i="1"/>
  <c r="O60" i="1"/>
  <c r="L7" i="21"/>
  <c r="L10" i="8"/>
  <c r="L7" i="17"/>
  <c r="L51" i="15"/>
  <c r="O12" i="16"/>
  <c r="O20" i="16"/>
  <c r="M33" i="23"/>
  <c r="M31" i="23"/>
  <c r="J6" i="21"/>
  <c r="L52" i="23"/>
  <c r="Q9" i="16"/>
  <c r="N49" i="15"/>
  <c r="Q19" i="16"/>
  <c r="K35" i="7"/>
  <c r="P55" i="1"/>
  <c r="M45" i="8"/>
  <c r="O45" i="23"/>
  <c r="N39" i="7"/>
  <c r="I15" i="8"/>
  <c r="I18" i="8" s="1"/>
  <c r="K36" i="23"/>
  <c r="K37" i="23" s="1"/>
  <c r="K51" i="1"/>
  <c r="K48" i="23"/>
  <c r="M38" i="23"/>
  <c r="P18" i="22"/>
  <c r="O57" i="15"/>
  <c r="O13" i="19"/>
  <c r="L27" i="8"/>
  <c r="L36" i="8" s="1"/>
  <c r="K12" i="8"/>
  <c r="O13" i="16" l="1"/>
  <c r="M35" i="23"/>
  <c r="E77" i="1"/>
  <c r="E78" i="1"/>
  <c r="M50" i="15"/>
  <c r="P10" i="16"/>
  <c r="P11" i="16" s="1"/>
  <c r="L35" i="7"/>
  <c r="L37" i="7" s="1"/>
  <c r="O22" i="1"/>
  <c r="O24" i="1" s="1"/>
  <c r="K37" i="7"/>
  <c r="L28" i="18"/>
  <c r="L34" i="20"/>
  <c r="M11" i="23"/>
  <c r="M12" i="23" s="1"/>
  <c r="M51" i="23"/>
  <c r="N36" i="7"/>
  <c r="P21" i="1"/>
  <c r="N27" i="8" s="1"/>
  <c r="N36" i="8" s="1"/>
  <c r="N8" i="21"/>
  <c r="N8" i="17"/>
  <c r="O9" i="1"/>
  <c r="O11" i="1"/>
  <c r="M13" i="8" s="1"/>
  <c r="P20" i="16"/>
  <c r="N33" i="23"/>
  <c r="N31" i="23"/>
  <c r="D61" i="8"/>
  <c r="F15" i="23"/>
  <c r="F16" i="23" s="1"/>
  <c r="I9" i="21"/>
  <c r="I10" i="21" s="1"/>
  <c r="I9" i="17"/>
  <c r="P60" i="1"/>
  <c r="N46" i="8"/>
  <c r="Q54" i="1"/>
  <c r="N34" i="23"/>
  <c r="N38" i="23"/>
  <c r="M29" i="7"/>
  <c r="O8" i="23" s="1"/>
  <c r="N22" i="7"/>
  <c r="M61" i="7"/>
  <c r="M64" i="7"/>
  <c r="O46" i="23"/>
  <c r="S19" i="16"/>
  <c r="M7" i="21"/>
  <c r="M10" i="8"/>
  <c r="M7" i="17"/>
  <c r="R9" i="16"/>
  <c r="O49" i="15"/>
  <c r="S9" i="16" s="1"/>
  <c r="M51" i="15"/>
  <c r="P12" i="16"/>
  <c r="P13" i="16" s="1"/>
  <c r="N14" i="7"/>
  <c r="N19" i="7" s="1"/>
  <c r="N21" i="7" s="1"/>
  <c r="O8" i="7"/>
  <c r="O14" i="7" s="1"/>
  <c r="O19" i="7" s="1"/>
  <c r="O21" i="7" s="1"/>
  <c r="P21" i="16"/>
  <c r="O22" i="16"/>
  <c r="M43" i="1" s="1"/>
  <c r="Q44" i="1"/>
  <c r="O16" i="8" s="1"/>
  <c r="N16" i="8"/>
  <c r="J15" i="8"/>
  <c r="J18" i="8" s="1"/>
  <c r="L36" i="23"/>
  <c r="L37" i="23" s="1"/>
  <c r="L51" i="1"/>
  <c r="L48" i="23"/>
  <c r="N45" i="8"/>
  <c r="Q55" i="1"/>
  <c r="P45" i="23"/>
  <c r="O39" i="7"/>
  <c r="L13" i="8"/>
  <c r="R19" i="16"/>
  <c r="M27" i="8"/>
  <c r="M36" i="8" s="1"/>
  <c r="O8" i="21"/>
  <c r="O8" i="17"/>
  <c r="F74" i="1"/>
  <c r="E10" i="22" s="1"/>
  <c r="F8" i="1" l="1"/>
  <c r="F15" i="1" s="1"/>
  <c r="D63" i="8"/>
  <c r="N50" i="15"/>
  <c r="Q10" i="16"/>
  <c r="Q11" i="16" s="1"/>
  <c r="N51" i="23"/>
  <c r="M28" i="18"/>
  <c r="N11" i="23"/>
  <c r="N12" i="23" s="1"/>
  <c r="M34" i="20"/>
  <c r="P22" i="1"/>
  <c r="P24" i="1" s="1"/>
  <c r="M35" i="7"/>
  <c r="M37" i="7" s="1"/>
  <c r="P9" i="1"/>
  <c r="N12" i="8" s="1"/>
  <c r="P11" i="1"/>
  <c r="N13" i="8" s="1"/>
  <c r="N29" i="7"/>
  <c r="P8" i="23" s="1"/>
  <c r="O22" i="7"/>
  <c r="P46" i="23"/>
  <c r="N64" i="7"/>
  <c r="N61" i="7"/>
  <c r="O34" i="23"/>
  <c r="K15" i="8"/>
  <c r="K18" i="8" s="1"/>
  <c r="M51" i="1"/>
  <c r="M36" i="23"/>
  <c r="M37" i="23" s="1"/>
  <c r="M48" i="23"/>
  <c r="M12" i="8"/>
  <c r="F44" i="23"/>
  <c r="F55" i="23"/>
  <c r="F76" i="1"/>
  <c r="F14" i="23"/>
  <c r="J9" i="21"/>
  <c r="J10" i="21" s="1"/>
  <c r="J9" i="17"/>
  <c r="N51" i="15"/>
  <c r="Q12" i="16"/>
  <c r="O46" i="8"/>
  <c r="Q60" i="1"/>
  <c r="N35" i="23"/>
  <c r="O36" i="7"/>
  <c r="Q21" i="1"/>
  <c r="L6" i="21"/>
  <c r="N52" i="23"/>
  <c r="O45" i="8"/>
  <c r="Q45" i="23"/>
  <c r="Q21" i="16"/>
  <c r="P22" i="16"/>
  <c r="N43" i="1" s="1"/>
  <c r="K6" i="21"/>
  <c r="M52" i="23"/>
  <c r="O38" i="23"/>
  <c r="Q11" i="1"/>
  <c r="Q9" i="1"/>
  <c r="Q20" i="16"/>
  <c r="O33" i="23"/>
  <c r="O35" i="23" s="1"/>
  <c r="O31" i="23"/>
  <c r="N7" i="21"/>
  <c r="N10" i="8"/>
  <c r="N7" i="17"/>
  <c r="Q13" i="16" l="1"/>
  <c r="E14" i="22"/>
  <c r="E13" i="22"/>
  <c r="E16" i="22"/>
  <c r="E60" i="8"/>
  <c r="E38" i="7"/>
  <c r="E43" i="7" s="1"/>
  <c r="G9" i="23" s="1"/>
  <c r="F26" i="23"/>
  <c r="O50" i="15"/>
  <c r="S10" i="16" s="1"/>
  <c r="S11" i="16" s="1"/>
  <c r="R10" i="16"/>
  <c r="R11" i="16" s="1"/>
  <c r="Q22" i="1"/>
  <c r="Q24" i="1" s="1"/>
  <c r="N34" i="20"/>
  <c r="N35" i="7"/>
  <c r="N37" i="7" s="1"/>
  <c r="O51" i="23"/>
  <c r="N28" i="18"/>
  <c r="O11" i="23"/>
  <c r="O12" i="23" s="1"/>
  <c r="S20" i="16"/>
  <c r="Q33" i="23"/>
  <c r="Q31" i="23"/>
  <c r="O29" i="7"/>
  <c r="Q8" i="23" s="1"/>
  <c r="O61" i="7"/>
  <c r="Q46" i="23"/>
  <c r="O64" i="7"/>
  <c r="C66" i="7" s="1"/>
  <c r="B68" i="7"/>
  <c r="R12" i="16"/>
  <c r="R13" i="16" s="1"/>
  <c r="O51" i="15"/>
  <c r="P38" i="23"/>
  <c r="M6" i="21"/>
  <c r="O52" i="23"/>
  <c r="O27" i="8"/>
  <c r="O36" i="8" s="1"/>
  <c r="O12" i="8"/>
  <c r="P34" i="23"/>
  <c r="R21" i="16"/>
  <c r="Q22" i="16"/>
  <c r="O43" i="1" s="1"/>
  <c r="Q34" i="23"/>
  <c r="L15" i="8"/>
  <c r="L18" i="8" s="1"/>
  <c r="N51" i="1"/>
  <c r="N36" i="23"/>
  <c r="N37" i="23" s="1"/>
  <c r="N48" i="23"/>
  <c r="O7" i="21"/>
  <c r="O7" i="17"/>
  <c r="O10" i="8"/>
  <c r="F47" i="23"/>
  <c r="F40" i="23"/>
  <c r="F38" i="1"/>
  <c r="F43" i="23" s="1"/>
  <c r="F41" i="23"/>
  <c r="F42" i="23"/>
  <c r="F21" i="23"/>
  <c r="F23" i="23"/>
  <c r="F22" i="23"/>
  <c r="F20" i="23"/>
  <c r="F27" i="23" s="1"/>
  <c r="F25" i="23"/>
  <c r="K9" i="21"/>
  <c r="K10" i="21" s="1"/>
  <c r="K9" i="17"/>
  <c r="R20" i="16"/>
  <c r="O13" i="8"/>
  <c r="P33" i="23"/>
  <c r="P31" i="23"/>
  <c r="D25" i="17" l="1"/>
  <c r="D30" i="21"/>
  <c r="E17" i="22"/>
  <c r="P35" i="23"/>
  <c r="Q38" i="23"/>
  <c r="E45" i="7"/>
  <c r="E47" i="7" s="1"/>
  <c r="E51" i="7" s="1"/>
  <c r="E53" i="7" s="1"/>
  <c r="G50" i="23" s="1"/>
  <c r="G49" i="23"/>
  <c r="F78" i="1"/>
  <c r="P11" i="23"/>
  <c r="P12" i="23" s="1"/>
  <c r="O34" i="20"/>
  <c r="O28" i="18"/>
  <c r="P51" i="23"/>
  <c r="F24" i="23"/>
  <c r="N6" i="21"/>
  <c r="P52" i="23"/>
  <c r="F77" i="1"/>
  <c r="O35" i="7"/>
  <c r="S12" i="16"/>
  <c r="S13" i="16" s="1"/>
  <c r="Q35" i="23"/>
  <c r="S21" i="16"/>
  <c r="S22" i="16" s="1"/>
  <c r="Q43" i="1" s="1"/>
  <c r="R22" i="16"/>
  <c r="P43" i="1" s="1"/>
  <c r="L9" i="21"/>
  <c r="L10" i="21" s="1"/>
  <c r="L9" i="17"/>
  <c r="M15" i="8"/>
  <c r="M18" i="8" s="1"/>
  <c r="O51" i="1"/>
  <c r="O36" i="23"/>
  <c r="O37" i="23" s="1"/>
  <c r="O48" i="23"/>
  <c r="D16" i="17" l="1"/>
  <c r="D17" i="17" s="1"/>
  <c r="E19" i="22"/>
  <c r="D13" i="21" s="1"/>
  <c r="D14" i="21" s="1"/>
  <c r="E55" i="7"/>
  <c r="E59" i="7"/>
  <c r="G73" i="1" s="1"/>
  <c r="G74" i="1" s="1"/>
  <c r="F10" i="22" s="1"/>
  <c r="F57" i="7"/>
  <c r="F51" i="8" s="1"/>
  <c r="F57" i="8" s="1"/>
  <c r="G53" i="23"/>
  <c r="G10" i="23"/>
  <c r="G13" i="23" s="1"/>
  <c r="E8" i="8"/>
  <c r="E20" i="8" s="1"/>
  <c r="E58" i="8" s="1"/>
  <c r="G15" i="23" s="1"/>
  <c r="G16" i="23" s="1"/>
  <c r="E6" i="17"/>
  <c r="E12" i="17" s="1"/>
  <c r="O15" i="8"/>
  <c r="O18" i="8" s="1"/>
  <c r="Q51" i="1"/>
  <c r="Q36" i="23"/>
  <c r="Q37" i="23" s="1"/>
  <c r="Q48" i="23"/>
  <c r="N15" i="8"/>
  <c r="N18" i="8" s="1"/>
  <c r="P36" i="23"/>
  <c r="P37" i="23" s="1"/>
  <c r="P51" i="1"/>
  <c r="P48" i="23"/>
  <c r="M9" i="21"/>
  <c r="M10" i="21" s="1"/>
  <c r="M9" i="17"/>
  <c r="O37" i="7"/>
  <c r="P34" i="20"/>
  <c r="Q11" i="23"/>
  <c r="Q12" i="23" s="1"/>
  <c r="Q51" i="23"/>
  <c r="D18" i="17" l="1"/>
  <c r="D15" i="21"/>
  <c r="E61" i="8"/>
  <c r="E63" i="8" s="1"/>
  <c r="O6" i="21"/>
  <c r="Q52" i="23"/>
  <c r="G44" i="23"/>
  <c r="G55" i="23"/>
  <c r="G76" i="1"/>
  <c r="G14" i="23"/>
  <c r="N9" i="21"/>
  <c r="N10" i="21" s="1"/>
  <c r="N9" i="17"/>
  <c r="O9" i="21"/>
  <c r="O9" i="17"/>
  <c r="G8" i="1" l="1"/>
  <c r="F38" i="7" s="1"/>
  <c r="F43" i="7" s="1"/>
  <c r="H9" i="23" s="1"/>
  <c r="G26" i="23"/>
  <c r="O10" i="21"/>
  <c r="G21" i="23"/>
  <c r="G23" i="23"/>
  <c r="G22" i="23"/>
  <c r="G25" i="23"/>
  <c r="G20" i="23"/>
  <c r="G27" i="23" s="1"/>
  <c r="F14" i="22" l="1"/>
  <c r="F13" i="22"/>
  <c r="F16" i="22"/>
  <c r="H49" i="23"/>
  <c r="F45" i="7"/>
  <c r="F47" i="7" s="1"/>
  <c r="F51" i="7" s="1"/>
  <c r="F53" i="7" s="1"/>
  <c r="F6" i="17" s="1"/>
  <c r="F12" i="17" s="1"/>
  <c r="F60" i="8"/>
  <c r="G15" i="1"/>
  <c r="G38" i="1" s="1"/>
  <c r="G24" i="23"/>
  <c r="E30" i="21" l="1"/>
  <c r="E25" i="17"/>
  <c r="F17" i="22"/>
  <c r="G57" i="7"/>
  <c r="G51" i="8" s="1"/>
  <c r="G57" i="8" s="1"/>
  <c r="H50" i="23"/>
  <c r="F8" i="8"/>
  <c r="F20" i="8" s="1"/>
  <c r="F58" i="8" s="1"/>
  <c r="H15" i="23" s="1"/>
  <c r="H16" i="23" s="1"/>
  <c r="F55" i="7"/>
  <c r="F59" i="7"/>
  <c r="H73" i="1" s="1"/>
  <c r="H74" i="1" s="1"/>
  <c r="G10" i="22" s="1"/>
  <c r="H10" i="23"/>
  <c r="H13" i="23" s="1"/>
  <c r="H53" i="23"/>
  <c r="G47" i="23"/>
  <c r="G40" i="23"/>
  <c r="G43" i="23"/>
  <c r="G77" i="1"/>
  <c r="G41" i="23"/>
  <c r="G42" i="23"/>
  <c r="G78" i="1"/>
  <c r="E16" i="17" l="1"/>
  <c r="E17" i="17" s="1"/>
  <c r="F19" i="22"/>
  <c r="E13" i="21" s="1"/>
  <c r="E14" i="21" s="1"/>
  <c r="F61" i="8"/>
  <c r="H8" i="1" s="1"/>
  <c r="G60" i="8" s="1"/>
  <c r="H44" i="23"/>
  <c r="H55" i="23"/>
  <c r="H76" i="1"/>
  <c r="H14" i="23"/>
  <c r="E15" i="21" l="1"/>
  <c r="E18" i="17"/>
  <c r="F63" i="8"/>
  <c r="H15" i="1"/>
  <c r="H41" i="23" s="1"/>
  <c r="G38" i="7"/>
  <c r="G43" i="7" s="1"/>
  <c r="I49" i="23" s="1"/>
  <c r="H26" i="23"/>
  <c r="H21" i="23"/>
  <c r="H23" i="23"/>
  <c r="H22" i="23"/>
  <c r="H20" i="23"/>
  <c r="H27" i="23" s="1"/>
  <c r="H25" i="23"/>
  <c r="H38" i="1" l="1"/>
  <c r="H43" i="23" s="1"/>
  <c r="H42" i="23"/>
  <c r="H47" i="23"/>
  <c r="I9" i="23"/>
  <c r="H40" i="23"/>
  <c r="G45" i="7"/>
  <c r="G47" i="7" s="1"/>
  <c r="G51" i="7" s="1"/>
  <c r="G53" i="7" s="1"/>
  <c r="G59" i="7" s="1"/>
  <c r="I73" i="1" s="1"/>
  <c r="H24" i="23"/>
  <c r="G13" i="22" l="1"/>
  <c r="G14" i="22"/>
  <c r="G16" i="22"/>
  <c r="H77" i="1"/>
  <c r="H78" i="1"/>
  <c r="G6" i="17"/>
  <c r="G12" i="17" s="1"/>
  <c r="G8" i="8"/>
  <c r="G20" i="8" s="1"/>
  <c r="G58" i="8" s="1"/>
  <c r="G61" i="8" s="1"/>
  <c r="I50" i="23"/>
  <c r="I10" i="23"/>
  <c r="I13" i="23" s="1"/>
  <c r="H57" i="7"/>
  <c r="H51" i="8" s="1"/>
  <c r="H57" i="8" s="1"/>
  <c r="I53" i="23"/>
  <c r="G55" i="7"/>
  <c r="I74" i="1"/>
  <c r="H10" i="22" s="1"/>
  <c r="F30" i="21" l="1"/>
  <c r="F25" i="17"/>
  <c r="G17" i="22"/>
  <c r="I15" i="23"/>
  <c r="I16" i="23" s="1"/>
  <c r="I8" i="1"/>
  <c r="H38" i="7" s="1"/>
  <c r="H43" i="7" s="1"/>
  <c r="G63" i="8"/>
  <c r="I44" i="23"/>
  <c r="I55" i="23"/>
  <c r="I76" i="1"/>
  <c r="I14" i="23"/>
  <c r="G19" i="22" l="1"/>
  <c r="F13" i="21" s="1"/>
  <c r="F14" i="21" s="1"/>
  <c r="F16" i="17"/>
  <c r="F17" i="17" s="1"/>
  <c r="I15" i="1"/>
  <c r="I41" i="23" s="1"/>
  <c r="H60" i="8"/>
  <c r="I26" i="23"/>
  <c r="J9" i="23"/>
  <c r="J49" i="23"/>
  <c r="H45" i="7"/>
  <c r="H47" i="7" s="1"/>
  <c r="H51" i="7" s="1"/>
  <c r="H53" i="7" s="1"/>
  <c r="I21" i="23"/>
  <c r="I23" i="23"/>
  <c r="I22" i="23"/>
  <c r="I25" i="23"/>
  <c r="I20" i="23"/>
  <c r="I27" i="23" s="1"/>
  <c r="F15" i="21" l="1"/>
  <c r="F18" i="17"/>
  <c r="I40" i="23"/>
  <c r="I47" i="23"/>
  <c r="I42" i="23"/>
  <c r="I38" i="1"/>
  <c r="I43" i="23" s="1"/>
  <c r="H55" i="7"/>
  <c r="H6" i="17"/>
  <c r="H12" i="17" s="1"/>
  <c r="I57" i="7"/>
  <c r="I51" i="8" s="1"/>
  <c r="I57" i="8" s="1"/>
  <c r="H59" i="7"/>
  <c r="J73" i="1" s="1"/>
  <c r="J50" i="23"/>
  <c r="H8" i="8"/>
  <c r="H20" i="8" s="1"/>
  <c r="H58" i="8" s="1"/>
  <c r="J53" i="23"/>
  <c r="J10" i="23"/>
  <c r="J13" i="23" s="1"/>
  <c r="I24" i="23"/>
  <c r="I77" i="1" l="1"/>
  <c r="I78" i="1"/>
  <c r="H61" i="8"/>
  <c r="J15" i="23"/>
  <c r="J16" i="23" s="1"/>
  <c r="J74" i="1"/>
  <c r="I10" i="22" s="1"/>
  <c r="H16" i="22" l="1"/>
  <c r="H14" i="22"/>
  <c r="H13" i="22"/>
  <c r="J8" i="1"/>
  <c r="I60" i="8" s="1"/>
  <c r="H63" i="8"/>
  <c r="J44" i="23"/>
  <c r="J55" i="23"/>
  <c r="J76" i="1"/>
  <c r="J14" i="23"/>
  <c r="G30" i="21" l="1"/>
  <c r="H17" i="22"/>
  <c r="G25" i="17"/>
  <c r="I38" i="7"/>
  <c r="I43" i="7" s="1"/>
  <c r="I45" i="7" s="1"/>
  <c r="I47" i="7" s="1"/>
  <c r="I51" i="7" s="1"/>
  <c r="I53" i="7" s="1"/>
  <c r="J15" i="1"/>
  <c r="J38" i="1" s="1"/>
  <c r="J43" i="23" s="1"/>
  <c r="J26" i="23"/>
  <c r="J21" i="23"/>
  <c r="J23" i="23"/>
  <c r="J22" i="23"/>
  <c r="J25" i="23"/>
  <c r="J20" i="23"/>
  <c r="J27" i="23" s="1"/>
  <c r="G16" i="17" l="1"/>
  <c r="G17" i="17" s="1"/>
  <c r="H19" i="22"/>
  <c r="G13" i="21" s="1"/>
  <c r="G14" i="21" s="1"/>
  <c r="K49" i="23"/>
  <c r="J42" i="23"/>
  <c r="J41" i="23"/>
  <c r="K9" i="23"/>
  <c r="J40" i="23"/>
  <c r="J47" i="23"/>
  <c r="J78" i="1"/>
  <c r="I8" i="8"/>
  <c r="I20" i="8" s="1"/>
  <c r="I58" i="8" s="1"/>
  <c r="J57" i="7"/>
  <c r="J51" i="8" s="1"/>
  <c r="J57" i="8" s="1"/>
  <c r="K50" i="23"/>
  <c r="K53" i="23"/>
  <c r="I55" i="7"/>
  <c r="K10" i="23"/>
  <c r="K13" i="23" s="1"/>
  <c r="I59" i="7"/>
  <c r="K73" i="1" s="1"/>
  <c r="I6" i="17"/>
  <c r="I12" i="17" s="1"/>
  <c r="J24" i="23"/>
  <c r="J77" i="1"/>
  <c r="G15" i="21" l="1"/>
  <c r="G18" i="17"/>
  <c r="K74" i="1"/>
  <c r="J10" i="22" s="1"/>
  <c r="K15" i="23"/>
  <c r="K16" i="23" s="1"/>
  <c r="I61" i="8"/>
  <c r="K8" i="1" l="1"/>
  <c r="J60" i="8" s="1"/>
  <c r="I63" i="8"/>
  <c r="K44" i="23"/>
  <c r="K55" i="23"/>
  <c r="K76" i="1"/>
  <c r="K14" i="23"/>
  <c r="I14" i="22" l="1"/>
  <c r="I13" i="22"/>
  <c r="I16" i="22"/>
  <c r="K15" i="1"/>
  <c r="K47" i="23" s="1"/>
  <c r="J38" i="7"/>
  <c r="J43" i="7" s="1"/>
  <c r="L9" i="23" s="1"/>
  <c r="K26" i="23"/>
  <c r="K21" i="23"/>
  <c r="K23" i="23"/>
  <c r="K22" i="23"/>
  <c r="K20" i="23"/>
  <c r="K27" i="23" s="1"/>
  <c r="K25" i="23"/>
  <c r="H30" i="21" l="1"/>
  <c r="H25" i="17"/>
  <c r="I17" i="22"/>
  <c r="K41" i="23"/>
  <c r="J45" i="7"/>
  <c r="J47" i="7" s="1"/>
  <c r="J51" i="7" s="1"/>
  <c r="J53" i="7" s="1"/>
  <c r="L53" i="23" s="1"/>
  <c r="L49" i="23"/>
  <c r="K42" i="23"/>
  <c r="K38" i="1"/>
  <c r="K43" i="23" s="1"/>
  <c r="K40" i="23"/>
  <c r="K24" i="23"/>
  <c r="I19" i="22" l="1"/>
  <c r="H13" i="21" s="1"/>
  <c r="H14" i="21" s="1"/>
  <c r="H16" i="17"/>
  <c r="H17" i="17" s="1"/>
  <c r="K57" i="7"/>
  <c r="K51" i="8" s="1"/>
  <c r="K57" i="8" s="1"/>
  <c r="J8" i="8"/>
  <c r="J20" i="8" s="1"/>
  <c r="J58" i="8" s="1"/>
  <c r="L15" i="23" s="1"/>
  <c r="L16" i="23" s="1"/>
  <c r="L10" i="23"/>
  <c r="L13" i="23" s="1"/>
  <c r="J59" i="7"/>
  <c r="L73" i="1" s="1"/>
  <c r="L74" i="1" s="1"/>
  <c r="K10" i="22" s="1"/>
  <c r="J6" i="17"/>
  <c r="J12" i="17" s="1"/>
  <c r="L50" i="23"/>
  <c r="J55" i="7"/>
  <c r="K77" i="1"/>
  <c r="K78" i="1"/>
  <c r="H18" i="17" l="1"/>
  <c r="H15" i="21"/>
  <c r="J61" i="8"/>
  <c r="L8" i="1" s="1"/>
  <c r="K60" i="8" s="1"/>
  <c r="L44" i="23"/>
  <c r="L55" i="23"/>
  <c r="L76" i="1"/>
  <c r="L14" i="23"/>
  <c r="J63" i="8" l="1"/>
  <c r="L15" i="1"/>
  <c r="L41" i="23" s="1"/>
  <c r="K38" i="7"/>
  <c r="K43" i="7" s="1"/>
  <c r="M49" i="23" s="1"/>
  <c r="L21" i="23"/>
  <c r="L23" i="23"/>
  <c r="L22" i="23"/>
  <c r="L20" i="23"/>
  <c r="L27" i="23" s="1"/>
  <c r="L25" i="23"/>
  <c r="L26" i="23"/>
  <c r="J13" i="22" l="1"/>
  <c r="J14" i="22"/>
  <c r="J16" i="22"/>
  <c r="L47" i="23"/>
  <c r="L40" i="23"/>
  <c r="L42" i="23"/>
  <c r="L38" i="1"/>
  <c r="L43" i="23" s="1"/>
  <c r="M9" i="23"/>
  <c r="K45" i="7"/>
  <c r="K47" i="7" s="1"/>
  <c r="K51" i="7" s="1"/>
  <c r="K53" i="7" s="1"/>
  <c r="L57" i="7" s="1"/>
  <c r="L51" i="8" s="1"/>
  <c r="L57" i="8" s="1"/>
  <c r="L24" i="23"/>
  <c r="I30" i="21" l="1"/>
  <c r="J17" i="22"/>
  <c r="I25" i="17"/>
  <c r="L77" i="1"/>
  <c r="L78" i="1"/>
  <c r="M50" i="23"/>
  <c r="K8" i="8"/>
  <c r="K20" i="8" s="1"/>
  <c r="K58" i="8" s="1"/>
  <c r="M15" i="23" s="1"/>
  <c r="M16" i="23" s="1"/>
  <c r="K55" i="7"/>
  <c r="M53" i="23"/>
  <c r="K59" i="7"/>
  <c r="M73" i="1" s="1"/>
  <c r="M74" i="1" s="1"/>
  <c r="L10" i="22" s="1"/>
  <c r="M10" i="23"/>
  <c r="M13" i="23" s="1"/>
  <c r="K6" i="17"/>
  <c r="K12" i="17" s="1"/>
  <c r="I16" i="17" l="1"/>
  <c r="I17" i="17" s="1"/>
  <c r="J19" i="22"/>
  <c r="I13" i="21" s="1"/>
  <c r="I14" i="21" s="1"/>
  <c r="K61" i="8"/>
  <c r="K63" i="8" s="1"/>
  <c r="M44" i="23"/>
  <c r="M55" i="23"/>
  <c r="M76" i="1"/>
  <c r="M14" i="23"/>
  <c r="I15" i="21" l="1"/>
  <c r="I18" i="17"/>
  <c r="M8" i="1"/>
  <c r="L38" i="7" s="1"/>
  <c r="L43" i="7" s="1"/>
  <c r="L45" i="7" s="1"/>
  <c r="L47" i="7" s="1"/>
  <c r="L51" i="7" s="1"/>
  <c r="L53" i="7" s="1"/>
  <c r="M26" i="23"/>
  <c r="M21" i="23"/>
  <c r="M23" i="23"/>
  <c r="M22" i="23"/>
  <c r="M20" i="23"/>
  <c r="M27" i="23" s="1"/>
  <c r="M25" i="23"/>
  <c r="N9" i="23" l="1"/>
  <c r="N49" i="23"/>
  <c r="M15" i="1"/>
  <c r="M40" i="23" s="1"/>
  <c r="L60" i="8"/>
  <c r="M24" i="23"/>
  <c r="N10" i="23"/>
  <c r="N13" i="23" s="1"/>
  <c r="N53" i="23"/>
  <c r="L55" i="7"/>
  <c r="L6" i="17"/>
  <c r="L12" i="17" s="1"/>
  <c r="N50" i="23"/>
  <c r="L59" i="7"/>
  <c r="N73" i="1" s="1"/>
  <c r="L8" i="8"/>
  <c r="L20" i="8" s="1"/>
  <c r="L58" i="8" s="1"/>
  <c r="M57" i="7"/>
  <c r="M51" i="8" s="1"/>
  <c r="M57" i="8" s="1"/>
  <c r="K13" i="22" l="1"/>
  <c r="K14" i="22"/>
  <c r="K16" i="22"/>
  <c r="M41" i="23"/>
  <c r="M42" i="23"/>
  <c r="M47" i="23"/>
  <c r="M38" i="1"/>
  <c r="M43" i="23" s="1"/>
  <c r="L61" i="8"/>
  <c r="N15" i="23"/>
  <c r="N16" i="23" s="1"/>
  <c r="N74" i="1"/>
  <c r="M10" i="22" s="1"/>
  <c r="K17" i="22" l="1"/>
  <c r="J25" i="17"/>
  <c r="J30" i="21"/>
  <c r="M77" i="1"/>
  <c r="M78" i="1"/>
  <c r="N8" i="1"/>
  <c r="M60" i="8" s="1"/>
  <c r="L63" i="8"/>
  <c r="N44" i="23"/>
  <c r="N55" i="23"/>
  <c r="N76" i="1"/>
  <c r="N14" i="23"/>
  <c r="K19" i="22" l="1"/>
  <c r="J13" i="21" s="1"/>
  <c r="J14" i="21" s="1"/>
  <c r="J16" i="17"/>
  <c r="J17" i="17" s="1"/>
  <c r="M38" i="7"/>
  <c r="M43" i="7" s="1"/>
  <c r="O9" i="23" s="1"/>
  <c r="N15" i="1"/>
  <c r="N38" i="1" s="1"/>
  <c r="N43" i="23" s="1"/>
  <c r="N26" i="23"/>
  <c r="N21" i="23"/>
  <c r="N23" i="23"/>
  <c r="N22" i="23"/>
  <c r="N20" i="23"/>
  <c r="N27" i="23" s="1"/>
  <c r="N25" i="23"/>
  <c r="J18" i="17" l="1"/>
  <c r="J15" i="21"/>
  <c r="N47" i="23"/>
  <c r="N42" i="23"/>
  <c r="N40" i="23"/>
  <c r="N41" i="23"/>
  <c r="M45" i="7"/>
  <c r="M47" i="7" s="1"/>
  <c r="M51" i="7" s="1"/>
  <c r="M53" i="7" s="1"/>
  <c r="M59" i="7" s="1"/>
  <c r="O73" i="1" s="1"/>
  <c r="O49" i="23"/>
  <c r="N78" i="1"/>
  <c r="N24" i="23"/>
  <c r="N77" i="1"/>
  <c r="O50" i="23" l="1"/>
  <c r="N57" i="7"/>
  <c r="N51" i="8" s="1"/>
  <c r="N57" i="8" s="1"/>
  <c r="M6" i="17"/>
  <c r="M12" i="17" s="1"/>
  <c r="O53" i="23"/>
  <c r="M8" i="8"/>
  <c r="M20" i="8" s="1"/>
  <c r="M58" i="8" s="1"/>
  <c r="M61" i="8" s="1"/>
  <c r="O10" i="23"/>
  <c r="O13" i="23" s="1"/>
  <c r="M55" i="7"/>
  <c r="O74" i="1"/>
  <c r="N10" i="22" s="1"/>
  <c r="L16" i="22" l="1"/>
  <c r="L14" i="22"/>
  <c r="O8" i="1"/>
  <c r="N60" i="8" s="1"/>
  <c r="M63" i="8"/>
  <c r="O15" i="23"/>
  <c r="O16" i="23" s="1"/>
  <c r="O44" i="23"/>
  <c r="O55" i="23"/>
  <c r="O76" i="1"/>
  <c r="O14" i="23"/>
  <c r="L13" i="22" l="1"/>
  <c r="K25" i="17"/>
  <c r="L17" i="22"/>
  <c r="K30" i="21"/>
  <c r="O15" i="1"/>
  <c r="O38" i="1" s="1"/>
  <c r="O43" i="23" s="1"/>
  <c r="N38" i="7"/>
  <c r="N43" i="7" s="1"/>
  <c r="P9" i="23" s="1"/>
  <c r="O21" i="23"/>
  <c r="O23" i="23"/>
  <c r="O22" i="23"/>
  <c r="O20" i="23"/>
  <c r="O27" i="23" s="1"/>
  <c r="O25" i="23"/>
  <c r="O26" i="23"/>
  <c r="K16" i="17" l="1"/>
  <c r="K17" i="17" s="1"/>
  <c r="L19" i="22"/>
  <c r="K13" i="21" s="1"/>
  <c r="K14" i="21" s="1"/>
  <c r="P49" i="23"/>
  <c r="O41" i="23"/>
  <c r="N45" i="7"/>
  <c r="N47" i="7" s="1"/>
  <c r="N51" i="7" s="1"/>
  <c r="N53" i="7" s="1"/>
  <c r="P50" i="23" s="1"/>
  <c r="O40" i="23"/>
  <c r="O47" i="23"/>
  <c r="O42" i="23"/>
  <c r="O78" i="1"/>
  <c r="O24" i="23"/>
  <c r="O77" i="1"/>
  <c r="K15" i="21" l="1"/>
  <c r="K18" i="17"/>
  <c r="N6" i="17"/>
  <c r="N12" i="17" s="1"/>
  <c r="P53" i="23"/>
  <c r="N8" i="8"/>
  <c r="N20" i="8" s="1"/>
  <c r="N58" i="8" s="1"/>
  <c r="P15" i="23" s="1"/>
  <c r="P16" i="23" s="1"/>
  <c r="P10" i="23"/>
  <c r="P13" i="23" s="1"/>
  <c r="N55" i="7"/>
  <c r="N59" i="7"/>
  <c r="P73" i="1" s="1"/>
  <c r="P74" i="1" s="1"/>
  <c r="O10" i="22" s="1"/>
  <c r="O57" i="7"/>
  <c r="O51" i="8" s="1"/>
  <c r="O57" i="8" s="1"/>
  <c r="N61" i="8" l="1"/>
  <c r="P8" i="1" s="1"/>
  <c r="O38" i="7" s="1"/>
  <c r="O43" i="7" s="1"/>
  <c r="P44" i="23"/>
  <c r="P55" i="23"/>
  <c r="P76" i="1"/>
  <c r="P14" i="23"/>
  <c r="M13" i="22" l="1"/>
  <c r="M14" i="22"/>
  <c r="M16" i="22"/>
  <c r="N63" i="8"/>
  <c r="O60" i="8"/>
  <c r="P15" i="1"/>
  <c r="P47" i="23" s="1"/>
  <c r="P21" i="23"/>
  <c r="P23" i="23"/>
  <c r="P22" i="23"/>
  <c r="P25" i="23"/>
  <c r="P20" i="23"/>
  <c r="P27" i="23" s="1"/>
  <c r="O45" i="7"/>
  <c r="O47" i="7" s="1"/>
  <c r="O51" i="7" s="1"/>
  <c r="O53" i="7" s="1"/>
  <c r="Q9" i="23"/>
  <c r="Q49" i="23"/>
  <c r="P26" i="23"/>
  <c r="L25" i="17" l="1"/>
  <c r="L30" i="21"/>
  <c r="M17" i="22"/>
  <c r="P41" i="23"/>
  <c r="P42" i="23"/>
  <c r="P38" i="1"/>
  <c r="P43" i="23" s="1"/>
  <c r="P40" i="23"/>
  <c r="P24" i="23"/>
  <c r="O59" i="7"/>
  <c r="Q73" i="1" s="1"/>
  <c r="Q74" i="1" s="1"/>
  <c r="P10" i="22" s="1"/>
  <c r="Q10" i="23"/>
  <c r="Q13" i="23" s="1"/>
  <c r="Q53" i="23"/>
  <c r="Q50" i="23"/>
  <c r="O6" i="17"/>
  <c r="O12" i="17" s="1"/>
  <c r="O8" i="8"/>
  <c r="O20" i="8" s="1"/>
  <c r="O58" i="8" s="1"/>
  <c r="O55" i="7"/>
  <c r="L16" i="17" l="1"/>
  <c r="L17" i="17" s="1"/>
  <c r="M19" i="22"/>
  <c r="L13" i="21" s="1"/>
  <c r="L14" i="21" s="1"/>
  <c r="L15" i="21" s="1"/>
  <c r="P78" i="1"/>
  <c r="P77" i="1"/>
  <c r="Q44" i="23"/>
  <c r="Q55" i="23"/>
  <c r="Q76" i="1"/>
  <c r="Q15" i="23"/>
  <c r="Q16" i="23" s="1"/>
  <c r="O61" i="8"/>
  <c r="Q14" i="23"/>
  <c r="L18" i="17" l="1"/>
  <c r="Q8" i="1"/>
  <c r="Q15" i="1" s="1"/>
  <c r="Q41" i="23" s="1"/>
  <c r="O63" i="8"/>
  <c r="Q21" i="23"/>
  <c r="Q23" i="23"/>
  <c r="Q22" i="23"/>
  <c r="Q25" i="23"/>
  <c r="Q20" i="23"/>
  <c r="Q27" i="23" s="1"/>
  <c r="Q26" i="23"/>
  <c r="Q42" i="23" l="1"/>
  <c r="Q40" i="23"/>
  <c r="Q47" i="23"/>
  <c r="Q38" i="1"/>
  <c r="Q43" i="23" s="1"/>
  <c r="Q24" i="23"/>
  <c r="N14" i="22" l="1"/>
  <c r="N13" i="22"/>
  <c r="N16" i="22"/>
  <c r="Q77" i="1"/>
  <c r="Q78" i="1"/>
  <c r="M25" i="17" l="1"/>
  <c r="M30" i="21"/>
  <c r="N17" i="22"/>
  <c r="M16" i="17" l="1"/>
  <c r="M17" i="17" s="1"/>
  <c r="N19" i="22"/>
  <c r="M13" i="21" s="1"/>
  <c r="M14" i="21" s="1"/>
  <c r="M15" i="21" s="1"/>
  <c r="M18" i="17" l="1"/>
  <c r="O14" i="22" l="1"/>
  <c r="O13" i="22"/>
  <c r="O16" i="22"/>
  <c r="N25" i="17" l="1"/>
  <c r="O17" i="22"/>
  <c r="N30" i="21"/>
  <c r="N16" i="17" l="1"/>
  <c r="N17" i="17" s="1"/>
  <c r="O19" i="22"/>
  <c r="N13" i="21" s="1"/>
  <c r="N14" i="21" s="1"/>
  <c r="N15" i="21" s="1"/>
  <c r="N18" i="17" l="1"/>
  <c r="P13" i="22" l="1"/>
  <c r="P14" i="22"/>
  <c r="P16" i="22"/>
  <c r="P17" i="22" l="1"/>
  <c r="O30" i="21"/>
  <c r="O25" i="17"/>
  <c r="O16" i="17" l="1"/>
  <c r="P19" i="22"/>
  <c r="O13" i="21" s="1"/>
  <c r="O14" i="21" l="1"/>
  <c r="P14" i="21" s="1"/>
  <c r="O23" i="21"/>
  <c r="O21" i="17"/>
  <c r="O17" i="17"/>
  <c r="Q14" i="21" l="1"/>
  <c r="P15" i="21"/>
  <c r="P16" i="21" s="1"/>
  <c r="O22" i="17"/>
  <c r="O18" i="17"/>
  <c r="C19" i="17" s="1"/>
  <c r="O15" i="21"/>
  <c r="C16" i="21" s="1"/>
  <c r="C20" i="21" s="1"/>
  <c r="C22" i="21" s="1"/>
  <c r="C24" i="21" s="1"/>
  <c r="O24" i="21"/>
  <c r="D11" i="34" l="1"/>
  <c r="C25" i="21"/>
  <c r="C27" i="21" s="1"/>
  <c r="R14" i="21"/>
  <c r="Q15" i="21"/>
  <c r="Q16" i="21" s="1"/>
  <c r="J17" i="34" l="1"/>
  <c r="F17" i="34"/>
  <c r="H17" i="34"/>
  <c r="D17" i="34"/>
  <c r="H64" i="34"/>
  <c r="R15" i="21"/>
  <c r="R16" i="21" s="1"/>
  <c r="S14" i="21"/>
  <c r="T14" i="21" l="1"/>
  <c r="S15" i="21"/>
  <c r="S16" i="21" s="1"/>
  <c r="T15" i="21" l="1"/>
  <c r="T16" i="21" s="1"/>
  <c r="U14" i="21"/>
  <c r="U15" i="21" l="1"/>
  <c r="U16" i="21" s="1"/>
  <c r="V14" i="21"/>
  <c r="V15" i="21" l="1"/>
  <c r="V16" i="21" s="1"/>
  <c r="W14" i="21"/>
  <c r="X14" i="21" l="1"/>
  <c r="W15" i="21"/>
  <c r="W16" i="21" s="1"/>
  <c r="X15" i="21" l="1"/>
  <c r="X16" i="21" s="1"/>
  <c r="Y14" i="21"/>
  <c r="Y15" i="21" s="1"/>
  <c r="Y16" i="2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Paulo Matsuda</author>
  </authors>
  <commentList>
    <comment ref="H10" authorId="0" shapeId="0" xr:uid="{00000000-0006-0000-0000-000001000000}">
      <text>
        <r>
          <rPr>
            <b/>
            <sz val="9"/>
            <color indexed="81"/>
            <rFont val="Tahoma"/>
            <family val="2"/>
          </rPr>
          <t>Altere o ano de início</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Estaleiro Promar</author>
  </authors>
  <commentList>
    <comment ref="C38" authorId="0" shapeId="0" xr:uid="{00000000-0006-0000-0800-000001000000}">
      <text>
        <r>
          <rPr>
            <b/>
            <sz val="8"/>
            <color indexed="81"/>
            <rFont val="Tahoma"/>
            <family val="2"/>
          </rPr>
          <t>Ativo Operacional:
Clientes, Estoques, Imobilizado</t>
        </r>
        <r>
          <rPr>
            <sz val="8"/>
            <color indexed="81"/>
            <rFont val="Tahoma"/>
            <family val="2"/>
          </rPr>
          <t xml:space="preserve">
</t>
        </r>
      </text>
    </comment>
    <comment ref="C39" authorId="0" shapeId="0" xr:uid="{00000000-0006-0000-0800-000002000000}">
      <text>
        <r>
          <rPr>
            <b/>
            <sz val="12"/>
            <color indexed="81"/>
            <rFont val="Tahoma"/>
            <family val="2"/>
          </rPr>
          <t xml:space="preserve">
LAJIR / ROL</t>
        </r>
        <r>
          <rPr>
            <sz val="8"/>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Estaleiro Promar</author>
  </authors>
  <commentList>
    <comment ref="B6" authorId="0" shapeId="0" xr:uid="{00000000-0006-0000-0900-000001000000}">
      <text>
        <r>
          <rPr>
            <b/>
            <sz val="8"/>
            <color indexed="81"/>
            <rFont val="Tahoma"/>
            <family val="2"/>
          </rPr>
          <t>Taxa de mercado:</t>
        </r>
        <r>
          <rPr>
            <sz val="8"/>
            <color indexed="81"/>
            <rFont val="Tahoma"/>
            <family val="2"/>
          </rPr>
          <t xml:space="preserve">
IBOVESPA</t>
        </r>
      </text>
    </comment>
    <comment ref="C6" authorId="0" shapeId="0" xr:uid="{00000000-0006-0000-0900-000002000000}">
      <text>
        <r>
          <rPr>
            <b/>
            <sz val="8"/>
            <color indexed="81"/>
            <rFont val="Tahoma"/>
            <family val="2"/>
          </rPr>
          <t>Digitado</t>
        </r>
        <r>
          <rPr>
            <sz val="8"/>
            <color indexed="81"/>
            <rFont val="Tahoma"/>
            <family val="2"/>
          </rPr>
          <t xml:space="preserve">
</t>
        </r>
      </text>
    </comment>
    <comment ref="D6" authorId="0" shapeId="0" xr:uid="{00000000-0006-0000-0900-000003000000}">
      <text>
        <r>
          <rPr>
            <b/>
            <sz val="8"/>
            <color indexed="81"/>
            <rFont val="Tahoma"/>
            <family val="2"/>
          </rPr>
          <t>Digitado</t>
        </r>
        <r>
          <rPr>
            <sz val="8"/>
            <color indexed="81"/>
            <rFont val="Tahoma"/>
            <family val="2"/>
          </rPr>
          <t xml:space="preserve">
</t>
        </r>
      </text>
    </comment>
    <comment ref="B7" authorId="0" shapeId="0" xr:uid="{00000000-0006-0000-0900-000004000000}">
      <text>
        <r>
          <rPr>
            <b/>
            <sz val="8"/>
            <color indexed="81"/>
            <rFont val="Tahoma"/>
            <family val="2"/>
          </rPr>
          <t>Taxa Livre de Risco:</t>
        </r>
      </text>
    </comment>
    <comment ref="B9" authorId="0" shapeId="0" xr:uid="{00000000-0006-0000-0900-000005000000}">
      <text>
        <r>
          <rPr>
            <b/>
            <sz val="8"/>
            <color indexed="81"/>
            <rFont val="Tahoma"/>
            <family val="2"/>
          </rPr>
          <t>Taxa de juros s/ empréstimos:</t>
        </r>
        <r>
          <rPr>
            <sz val="8"/>
            <color indexed="81"/>
            <rFont val="Tahoma"/>
            <family val="2"/>
          </rPr>
          <t xml:space="preserve">
taxa média</t>
        </r>
      </text>
    </comment>
    <comment ref="B10" authorId="0" shapeId="0" xr:uid="{00000000-0006-0000-0900-000006000000}">
      <text>
        <r>
          <rPr>
            <b/>
            <sz val="8"/>
            <color indexed="81"/>
            <rFont val="Tahoma"/>
            <family val="2"/>
          </rPr>
          <t>Patrimônio Líquido</t>
        </r>
        <r>
          <rPr>
            <sz val="8"/>
            <color indexed="81"/>
            <rFont val="Tahoma"/>
            <family val="2"/>
          </rPr>
          <t xml:space="preserve">
</t>
        </r>
      </text>
    </comment>
    <comment ref="B11" authorId="0" shapeId="0" xr:uid="{00000000-0006-0000-0900-000007000000}">
      <text>
        <r>
          <rPr>
            <b/>
            <sz val="8"/>
            <color indexed="81"/>
            <rFont val="Tahoma"/>
            <family val="2"/>
          </rPr>
          <t>Empréstimos e Financiamentos</t>
        </r>
        <r>
          <rPr>
            <sz val="8"/>
            <color indexed="81"/>
            <rFont val="Tahoma"/>
            <family val="2"/>
          </rPr>
          <t xml:space="preserve">
</t>
        </r>
      </text>
    </comment>
    <comment ref="B12" authorId="0" shapeId="0" xr:uid="{00000000-0006-0000-0900-000008000000}">
      <text>
        <r>
          <rPr>
            <b/>
            <sz val="8"/>
            <color indexed="81"/>
            <rFont val="Tahoma"/>
            <family val="2"/>
          </rPr>
          <t>Valor Presente da dívida a partir do Ano</t>
        </r>
        <r>
          <rPr>
            <sz val="8"/>
            <color indexed="81"/>
            <rFont val="Tahoma"/>
            <family val="2"/>
          </rPr>
          <t xml:space="preserve">
</t>
        </r>
      </text>
    </comment>
    <comment ref="B15" authorId="0" shapeId="0" xr:uid="{00000000-0006-0000-0900-000009000000}">
      <text>
        <r>
          <rPr>
            <b/>
            <sz val="8"/>
            <color indexed="81"/>
            <rFont val="Tahoma"/>
            <family val="2"/>
          </rPr>
          <t>Beta Desalavancado</t>
        </r>
        <r>
          <rPr>
            <sz val="8"/>
            <color indexed="81"/>
            <rFont val="Tahoma"/>
            <family val="2"/>
          </rPr>
          <t xml:space="preserve">
</t>
        </r>
      </text>
    </comment>
    <comment ref="B16" authorId="0" shapeId="0" xr:uid="{00000000-0006-0000-0900-00000A000000}">
      <text>
        <r>
          <rPr>
            <b/>
            <sz val="8"/>
            <color indexed="81"/>
            <rFont val="Tahoma"/>
            <family val="2"/>
          </rPr>
          <t>Beta Alavancado</t>
        </r>
        <r>
          <rPr>
            <sz val="8"/>
            <color indexed="81"/>
            <rFont val="Tahoma"/>
            <family val="2"/>
          </rPr>
          <t xml:space="preserve">
</t>
        </r>
      </text>
    </comment>
    <comment ref="C16" authorId="0" shapeId="0" xr:uid="{00000000-0006-0000-0900-00000B000000}">
      <text>
        <r>
          <rPr>
            <b/>
            <sz val="8"/>
            <color indexed="81"/>
            <rFont val="Tahoma"/>
            <family val="2"/>
          </rPr>
          <t>Digitado</t>
        </r>
        <r>
          <rPr>
            <sz val="8"/>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Estaleiro Promar</author>
  </authors>
  <commentList>
    <comment ref="C24" authorId="0" shapeId="0" xr:uid="{00000000-0006-0000-0C00-000001000000}">
      <text>
        <r>
          <rPr>
            <b/>
            <sz val="18"/>
            <color indexed="81"/>
            <rFont val="Tahoma"/>
            <family val="2"/>
          </rPr>
          <t>Preço da Ação</t>
        </r>
        <r>
          <rPr>
            <sz val="8"/>
            <color indexed="81"/>
            <rFont val="Tahoma"/>
            <family val="2"/>
          </rPr>
          <t xml:space="preserve">
</t>
        </r>
      </text>
    </comment>
  </commentList>
</comments>
</file>

<file path=xl/sharedStrings.xml><?xml version="1.0" encoding="utf-8"?>
<sst xmlns="http://schemas.openxmlformats.org/spreadsheetml/2006/main" count="492" uniqueCount="355">
  <si>
    <t>CIRCULANTE</t>
  </si>
  <si>
    <t>Disponíveis</t>
  </si>
  <si>
    <t>Clientes</t>
  </si>
  <si>
    <t>Estoques</t>
  </si>
  <si>
    <t>Outros</t>
  </si>
  <si>
    <t>REALIZÁVEL A  L. PRAZO</t>
  </si>
  <si>
    <t>PERMANENTE</t>
  </si>
  <si>
    <t>EXIGÍVEL A L. PRAZO</t>
  </si>
  <si>
    <t>RES. EXERCÍCIO FUTUROS</t>
  </si>
  <si>
    <t>PATRIMÔNIO LÍQUIDO</t>
  </si>
  <si>
    <t xml:space="preserve">  LUCRO BRUTO</t>
  </si>
  <si>
    <t xml:space="preserve">  EBITDA</t>
  </si>
  <si>
    <t xml:space="preserve">   ( - ) Depreciação e Amorização</t>
  </si>
  <si>
    <t xml:space="preserve">   EBIT</t>
  </si>
  <si>
    <t xml:space="preserve">  LUCRO LÍQ. ANTES IR/CS</t>
  </si>
  <si>
    <t>LUCRO/PREJUÍZO LÍQUIDO</t>
  </si>
  <si>
    <t>Fornecedores</t>
  </si>
  <si>
    <t>Empréstimos e adiantamentos</t>
  </si>
  <si>
    <t xml:space="preserve">    Imposto de renda diferido</t>
  </si>
  <si>
    <t>Imposto de renda diferido</t>
  </si>
  <si>
    <t>Impostos a recuperar</t>
  </si>
  <si>
    <t>Outros circulantes</t>
  </si>
  <si>
    <t>Partes relacionadas</t>
  </si>
  <si>
    <t>OUTROS ATIVOS</t>
  </si>
  <si>
    <t>Salários/Encargos Sociais</t>
  </si>
  <si>
    <t>Parcela Circulante de empréstimos e financiamentos de LP</t>
  </si>
  <si>
    <t>Empréstimos e financiamentos</t>
  </si>
  <si>
    <t>Empréstimos de partes relacionadas</t>
  </si>
  <si>
    <t>Provisão para IR</t>
  </si>
  <si>
    <t>Benefícios de pós-aposentadoria</t>
  </si>
  <si>
    <t>Provisões para contingências</t>
  </si>
  <si>
    <t>Perda não realizada com derivativos</t>
  </si>
  <si>
    <t>PARTICIPAÇÃO MINORITÁRIA</t>
  </si>
  <si>
    <t>Ações preferenciais classe A</t>
  </si>
  <si>
    <t>Ações ordinárias</t>
  </si>
  <si>
    <t>Ações em tesouraria</t>
  </si>
  <si>
    <t>Capital integralizado adicional</t>
  </si>
  <si>
    <t>Outros lucros acumulados</t>
  </si>
  <si>
    <t>Reserva de lucros</t>
  </si>
  <si>
    <t>Lucros acumulados</t>
  </si>
  <si>
    <t>Vendas de minerais e metais</t>
  </si>
  <si>
    <t>Minério de ferro e pelotas</t>
  </si>
  <si>
    <t>Manganês e ferro ligas</t>
  </si>
  <si>
    <t>Ouro</t>
  </si>
  <si>
    <t>Potássio</t>
  </si>
  <si>
    <t>Caulim</t>
  </si>
  <si>
    <t>Cobre</t>
  </si>
  <si>
    <t xml:space="preserve">          </t>
  </si>
  <si>
    <t>Receitas de serviços de logística</t>
  </si>
  <si>
    <t>Produtos de alumínio</t>
  </si>
  <si>
    <t>Outros produtos e serviços</t>
  </si>
  <si>
    <t>Impostos sobre vendas e serviços</t>
  </si>
  <si>
    <t xml:space="preserve"> RECEITA OPERACIONAL LÍQUIDA</t>
  </si>
  <si>
    <t>de minerais e metais</t>
  </si>
  <si>
    <t>de serviços de logística</t>
  </si>
  <si>
    <t>de produtos de alumínio</t>
  </si>
  <si>
    <t>outros</t>
  </si>
  <si>
    <t>(-) CUSTOS OPERACIONAIS</t>
  </si>
  <si>
    <t>Despesas vendas, gerais e administrativas</t>
  </si>
  <si>
    <t>Pesquisa e desenvolvimento</t>
  </si>
  <si>
    <t>Participação dos empregados nos resultados</t>
  </si>
  <si>
    <t>Despesas financeiras</t>
  </si>
  <si>
    <t>Receitas financeiras</t>
  </si>
  <si>
    <t>Ganhos (perdas) cambial e monetária</t>
  </si>
  <si>
    <t>Ganhos na venda de investimentos</t>
  </si>
  <si>
    <t>Imposto de renda</t>
  </si>
  <si>
    <t>Corrente</t>
  </si>
  <si>
    <t>Diferido</t>
  </si>
  <si>
    <t>Equivalência Patrimonial</t>
  </si>
  <si>
    <t>Participação minoritária</t>
  </si>
  <si>
    <t>LUCRO DAS OPERAÇÕES CONTINUADAS</t>
  </si>
  <si>
    <t>Mudanças no método de contabilização</t>
  </si>
  <si>
    <t>A T I V O</t>
  </si>
  <si>
    <t>T O T A L   A T I V O</t>
  </si>
  <si>
    <t>P A S S I V O</t>
  </si>
  <si>
    <t>T O T A L   P A S S I V O</t>
  </si>
  <si>
    <t>Exercícios findos em 31 de dezembro</t>
  </si>
  <si>
    <t>Fluxos de caixa provenientes das atividades operacionais:</t>
  </si>
  <si>
    <t>Ajustes para reconciliar o lucro líquido com recursos provenientes das atividades operacionais:</t>
  </si>
  <si>
    <t>Redução (aumento) em ativos:</t>
  </si>
  <si>
    <t>Aumento (redução) em passivos:</t>
  </si>
  <si>
    <t>Fluxos de caixa provenientes das atividades de investimento:</t>
  </si>
  <si>
    <t>Fluxos de caixa provenientes das atividades de financiamento:</t>
  </si>
  <si>
    <t>Empréstimos</t>
  </si>
  <si>
    <t>Empréstimos e financiamentos de longo prazo</t>
  </si>
  <si>
    <t>Lucro líquido</t>
  </si>
  <si>
    <t>Depreciação, exaustão e amortização</t>
  </si>
  <si>
    <t>Contas a receber</t>
  </si>
  <si>
    <t>Salários e encargos sociais</t>
  </si>
  <si>
    <t>Imposto de Renda</t>
  </si>
  <si>
    <t>Recursos líquidos provenientes das atividades operacionais</t>
  </si>
  <si>
    <t>Recursos líquidos provenientes de atividades de investimento</t>
  </si>
  <si>
    <t>Empréstimos e financiamentos de curto prazo (captações líquidas)</t>
  </si>
  <si>
    <t>Juros sobre o capital próprio pagos a acionistas</t>
  </si>
  <si>
    <t>Recursos líquidos utilizados nas atividades de financiamento</t>
  </si>
  <si>
    <t>Aumento (diminuição) de caixa e equivalentes</t>
  </si>
  <si>
    <t>Caixa e equivalentes no início do período</t>
  </si>
  <si>
    <t>Caixa e equivalentes no final do período</t>
  </si>
  <si>
    <t>Demonstrações Consolidadas dos Fluxos de Caixa</t>
  </si>
  <si>
    <t>Em milhões de dólares norte-americanos</t>
  </si>
  <si>
    <t xml:space="preserve"> BALANÇO PATRIMONIAL</t>
  </si>
  <si>
    <t>Total CIRCULANTE</t>
  </si>
  <si>
    <t>TOTAL PERMANENTE</t>
  </si>
  <si>
    <t>TOTAL OUTROS ATIVOS</t>
  </si>
  <si>
    <t>TOTAL PASSIVO CIRCULANTE</t>
  </si>
  <si>
    <t>TOTAL CAPITAL SOCIAL</t>
  </si>
  <si>
    <t>CAPITAL SOCIAL</t>
  </si>
  <si>
    <t>TOTAL PATRIMÔNIO LÍQUIDO</t>
  </si>
  <si>
    <t>DEMONSTRAÇÃO DO RESULTADO</t>
  </si>
  <si>
    <t>RECEITAS BRUTAS</t>
  </si>
  <si>
    <t>Total Vendas de minerais e metais</t>
  </si>
  <si>
    <t>TOTAL RECEITAS BRUTAS</t>
  </si>
  <si>
    <t>TOTAL CUSTOS OPERACIONAIS</t>
  </si>
  <si>
    <t>Despesas Operacionais</t>
  </si>
  <si>
    <t>Total Imposto de Renda</t>
  </si>
  <si>
    <t>Variações em investimentos</t>
  </si>
  <si>
    <t>Variações ao imobilizado</t>
  </si>
  <si>
    <t>Ágio na aquisição de controladas</t>
  </si>
  <si>
    <t>Empréstimos e adiantamentos a receber CP</t>
  </si>
  <si>
    <t>Custo de pensão pago antecipadamente</t>
  </si>
  <si>
    <t>Depósitos judiciais</t>
  </si>
  <si>
    <t>Ganhos não realizados</t>
  </si>
  <si>
    <t>Variações no Capital  Próprio</t>
  </si>
  <si>
    <t>Premissas</t>
  </si>
  <si>
    <t>2 - Volume de vendas</t>
  </si>
  <si>
    <t>3 - Receitas</t>
  </si>
  <si>
    <t xml:space="preserve">6 - O imobilizado (bruto) deprecia-se a </t>
  </si>
  <si>
    <t>7 - Alíquota de IR e CSLL</t>
  </si>
  <si>
    <t>Contas a Receber</t>
  </si>
  <si>
    <t>10 - O caixa é remunerado a</t>
  </si>
  <si>
    <t>11 - A taxa de juros dos financiamentos é de 12% aa, e essas despesas são pagas em dinheiro.</t>
  </si>
  <si>
    <t>12 - Paga-se, à vista, a título de amortização de financiamentos.</t>
  </si>
  <si>
    <t>13 - Está prevista nova emissão de dívida (financiamento LP).</t>
  </si>
  <si>
    <t>14 - O orçamento para investimentos de capital.</t>
  </si>
  <si>
    <t>4 - Impostos sobre vendas e serviços</t>
  </si>
  <si>
    <t>5 - CUSTOS OPERACIONAIS</t>
  </si>
  <si>
    <t xml:space="preserve">5 - Os custos administrativos </t>
  </si>
  <si>
    <t>Enfoque Financeiro</t>
  </si>
  <si>
    <t>Ciclo Operacional e Financeiro</t>
  </si>
  <si>
    <t>(+) Estoque</t>
  </si>
  <si>
    <t>(+) Contas a Receber</t>
  </si>
  <si>
    <t>(=) Ciclo Operacional</t>
  </si>
  <si>
    <t>(-) Fornecedores</t>
  </si>
  <si>
    <t>(=) Ciclo Financeiro</t>
  </si>
  <si>
    <t>(+) CMV</t>
  </si>
  <si>
    <t>(+) Estoque Final</t>
  </si>
  <si>
    <t>(-) Estoque Inicial</t>
  </si>
  <si>
    <t>(=) Compras</t>
  </si>
  <si>
    <t>8 - Média dos anos 2002 a 2004</t>
  </si>
  <si>
    <t>(-) Depreciação Acumulada</t>
  </si>
  <si>
    <t>Investimentos</t>
  </si>
  <si>
    <t>Imobilizado</t>
  </si>
  <si>
    <t>Juros sobre capital próprio</t>
  </si>
  <si>
    <t>9 - Salários</t>
  </si>
  <si>
    <t>Lucros Acumulados</t>
  </si>
  <si>
    <t>Empréstimos e adiantamentos a receber LP</t>
  </si>
  <si>
    <t>Lucro Líquido</t>
  </si>
  <si>
    <t>(+) Depreciação</t>
  </si>
  <si>
    <t>(-) Investimento de capital</t>
  </si>
  <si>
    <t>(-) Pagamentos do principal</t>
  </si>
  <si>
    <t>EBIT * (1 - IR)</t>
  </si>
  <si>
    <t>(+) Novas dívidas</t>
  </si>
  <si>
    <t>Fluxo de Caixa da Empresa</t>
  </si>
  <si>
    <t>Fluxo de Caixa Livre do Acionista</t>
  </si>
  <si>
    <t>Fluxo de Caixa Livre</t>
  </si>
  <si>
    <t>(-) dividendos</t>
  </si>
  <si>
    <t xml:space="preserve"> = var caixa</t>
  </si>
  <si>
    <r>
      <t xml:space="preserve">D </t>
    </r>
    <r>
      <rPr>
        <b/>
        <sz val="12"/>
        <rFont val="Sylfaen"/>
        <family val="1"/>
      </rPr>
      <t>NCG</t>
    </r>
  </si>
  <si>
    <t>Operacional</t>
  </si>
  <si>
    <t>Serviços de logística</t>
  </si>
  <si>
    <t>Minerais ferrosos</t>
  </si>
  <si>
    <t>Minerais não ferrosos</t>
  </si>
  <si>
    <t>Carvão</t>
  </si>
  <si>
    <t>Energia Elétrica</t>
  </si>
  <si>
    <t>Captação</t>
  </si>
  <si>
    <t>Taxa de Juros</t>
  </si>
  <si>
    <t>Manutenções</t>
  </si>
  <si>
    <t>15 - A empresa paga, em dinheiro, 50% do lucro líquido a título de dividendos.</t>
  </si>
  <si>
    <t>Projetos em Siderúrgicas</t>
  </si>
  <si>
    <t>Projetos em Ref. Alumina (Chalco)</t>
  </si>
  <si>
    <r>
      <t xml:space="preserve">(-) </t>
    </r>
    <r>
      <rPr>
        <sz val="12"/>
        <rFont val="Symbol"/>
        <family val="1"/>
        <charset val="2"/>
      </rPr>
      <t xml:space="preserve">D </t>
    </r>
    <r>
      <rPr>
        <sz val="12"/>
        <rFont val="Sylfaen"/>
        <family val="1"/>
      </rPr>
      <t>NCG</t>
    </r>
  </si>
  <si>
    <t>E</t>
  </si>
  <si>
    <t>D</t>
  </si>
  <si>
    <t>WACC</t>
  </si>
  <si>
    <r>
      <t>R</t>
    </r>
    <r>
      <rPr>
        <b/>
        <vertAlign val="subscript"/>
        <sz val="10"/>
        <rFont val="Arial"/>
        <family val="2"/>
      </rPr>
      <t>m</t>
    </r>
  </si>
  <si>
    <r>
      <t>I</t>
    </r>
    <r>
      <rPr>
        <b/>
        <vertAlign val="subscript"/>
        <sz val="10"/>
        <rFont val="Arial"/>
        <family val="2"/>
      </rPr>
      <t>j</t>
    </r>
  </si>
  <si>
    <r>
      <t>K</t>
    </r>
    <r>
      <rPr>
        <b/>
        <vertAlign val="subscript"/>
        <sz val="10"/>
        <rFont val="Arial"/>
        <family val="2"/>
      </rPr>
      <t>e</t>
    </r>
  </si>
  <si>
    <r>
      <t>K</t>
    </r>
    <r>
      <rPr>
        <b/>
        <vertAlign val="subscript"/>
        <sz val="10"/>
        <rFont val="Arial"/>
        <family val="2"/>
      </rPr>
      <t>d</t>
    </r>
  </si>
  <si>
    <t>E/(D + E)</t>
  </si>
  <si>
    <t>D/(D + E)</t>
  </si>
  <si>
    <t>Qtd</t>
  </si>
  <si>
    <t>Preço</t>
  </si>
  <si>
    <t>Total</t>
  </si>
  <si>
    <t>Ordinárias</t>
  </si>
  <si>
    <t>Preferenciais</t>
  </si>
  <si>
    <t>Equity</t>
  </si>
  <si>
    <t>16 - Ações</t>
  </si>
  <si>
    <t>Taxa do Dólar</t>
  </si>
  <si>
    <t>Empréstimos e financiamentos Curto Prazo</t>
  </si>
  <si>
    <t>Total Captação</t>
  </si>
  <si>
    <t>Total Líquido</t>
  </si>
  <si>
    <t>Amortizações</t>
  </si>
  <si>
    <t>Total Amortizações</t>
  </si>
  <si>
    <t>VPL</t>
  </si>
  <si>
    <r>
      <t>R</t>
    </r>
    <r>
      <rPr>
        <b/>
        <vertAlign val="subscript"/>
        <sz val="10"/>
        <rFont val="Arial"/>
        <family val="2"/>
      </rPr>
      <t>f</t>
    </r>
  </si>
  <si>
    <r>
      <t>K</t>
    </r>
    <r>
      <rPr>
        <b/>
        <vertAlign val="subscript"/>
        <sz val="10"/>
        <rFont val="Arial"/>
        <family val="2"/>
      </rPr>
      <t>e Acumulado</t>
    </r>
  </si>
  <si>
    <t>Valor Final</t>
  </si>
  <si>
    <r>
      <t>WACC</t>
    </r>
    <r>
      <rPr>
        <b/>
        <vertAlign val="subscript"/>
        <sz val="10"/>
        <rFont val="Arial"/>
        <family val="2"/>
      </rPr>
      <t xml:space="preserve"> Acumulado</t>
    </r>
  </si>
  <si>
    <t xml:space="preserve">VP Fluxo de Caixa do Acionista </t>
  </si>
  <si>
    <t>VP Fluxo de Caixa da Empresa</t>
  </si>
  <si>
    <t>Caixa</t>
  </si>
  <si>
    <t>Dividendos</t>
  </si>
  <si>
    <t>17 - Taxa de crescimento na Perpetuidade</t>
  </si>
  <si>
    <t>Indicadores Econômico-Financeiros</t>
  </si>
  <si>
    <t>RENTABILIDADE</t>
  </si>
  <si>
    <t>Margem Bruta (%)</t>
  </si>
  <si>
    <t>Margem Operacional Própria (%)</t>
  </si>
  <si>
    <t>Margem Líquida (%)</t>
  </si>
  <si>
    <t>Ebitda - US$ Milhões</t>
  </si>
  <si>
    <t>Ebitda/Receita (%)</t>
  </si>
  <si>
    <t>Retorno sobre o Investimento (%) (Margem X Giro)</t>
  </si>
  <si>
    <t>Retorno s/ Patrim. Líq. Médio (%)</t>
  </si>
  <si>
    <t>Geração Operacional de Caixa - Base: Fluxo de Caixa</t>
  </si>
  <si>
    <t>Geração Operacional de Caixa / Rec. Operacional Líq. (%)</t>
  </si>
  <si>
    <t>ESTRUTURA</t>
  </si>
  <si>
    <t>Endividamento de Curto Prazo (%)</t>
  </si>
  <si>
    <t>Endividamento Oneroso de Curto Prazo (%)</t>
  </si>
  <si>
    <t>Endividamento de Longo Prazo (%)</t>
  </si>
  <si>
    <t>Endividamento Oneroso de Longo Prazo (%)</t>
  </si>
  <si>
    <t>Endividamento Oneroso Total (%)</t>
  </si>
  <si>
    <t>Endividamento Total (%)</t>
  </si>
  <si>
    <t>Capitalização - (%)</t>
  </si>
  <si>
    <t>Grau de alavancagem Financeira ( Nº de vezes)</t>
  </si>
  <si>
    <t>ATIVIDADE</t>
  </si>
  <si>
    <t>Giro dos Estoques</t>
  </si>
  <si>
    <t>Período médio de Cobrança (dias)</t>
  </si>
  <si>
    <t>Período médio de pagamentos (dias)</t>
  </si>
  <si>
    <t>Giro s/ Ativo Operacional (nº de vezes)</t>
  </si>
  <si>
    <t xml:space="preserve">Grau de Alavancagem Operacional </t>
  </si>
  <si>
    <t>Liquidez Corrente</t>
  </si>
  <si>
    <t>Liquidez Seca</t>
  </si>
  <si>
    <t>Liquidez Geral</t>
  </si>
  <si>
    <t>Ativo Total (AT)</t>
  </si>
  <si>
    <t xml:space="preserve">Patrimônio Líquido (PL) </t>
  </si>
  <si>
    <t>Dívidas Bancárias (DB)</t>
  </si>
  <si>
    <t>Faturamento Líquido (ROL)</t>
  </si>
  <si>
    <t>Capital Circulante Líquido</t>
  </si>
  <si>
    <t>Necessidade de Cap. De Giro - NCG (*)</t>
  </si>
  <si>
    <t>Lucro Operacional (LO)</t>
  </si>
  <si>
    <t>Lucro Líquido (LL)</t>
  </si>
  <si>
    <t>EBITDA</t>
  </si>
  <si>
    <t>EBIT</t>
  </si>
  <si>
    <t>Autogeração (AG)</t>
  </si>
  <si>
    <t>Período Médio de Estoque (dias)</t>
  </si>
  <si>
    <t>Ciclo Operacional</t>
  </si>
  <si>
    <t>Ciclo Financeiro</t>
  </si>
  <si>
    <t>Beta Desalavancado</t>
  </si>
  <si>
    <t>Beta Alavancado</t>
  </si>
  <si>
    <t>S/ EBITDA</t>
  </si>
  <si>
    <t>PIB</t>
  </si>
  <si>
    <t>IPCA</t>
  </si>
  <si>
    <t>Prêmio</t>
  </si>
  <si>
    <t>LPA</t>
  </si>
  <si>
    <t>PA US$</t>
  </si>
  <si>
    <t>Dólar</t>
  </si>
  <si>
    <r>
      <t>b</t>
    </r>
    <r>
      <rPr>
        <b/>
        <sz val="10"/>
        <rFont val="Arial"/>
        <family val="2"/>
      </rPr>
      <t>u</t>
    </r>
  </si>
  <si>
    <r>
      <t>b</t>
    </r>
    <r>
      <rPr>
        <b/>
        <sz val="10"/>
        <rFont val="Arial"/>
        <family val="2"/>
      </rPr>
      <t>l</t>
    </r>
  </si>
  <si>
    <t>R$</t>
  </si>
  <si>
    <t>(-) Dívidas</t>
  </si>
  <si>
    <t>ROIC</t>
  </si>
  <si>
    <t>AVALIAÇÃO RELATIVA</t>
  </si>
  <si>
    <t>Companhias</t>
  </si>
  <si>
    <t>Vale do Rio Doce</t>
  </si>
  <si>
    <t>BHP Billington</t>
  </si>
  <si>
    <t>Rio Tinto</t>
  </si>
  <si>
    <t>Valor de mercado</t>
  </si>
  <si>
    <t>Crescimento de vendas</t>
  </si>
  <si>
    <t>Vendas</t>
  </si>
  <si>
    <t>Margem Bruta</t>
  </si>
  <si>
    <t>Margem Operacional</t>
  </si>
  <si>
    <t>Lucro por Ação</t>
  </si>
  <si>
    <t>P/L</t>
  </si>
  <si>
    <t>Preço da Ação</t>
  </si>
  <si>
    <t>Preço/EBITDA</t>
  </si>
  <si>
    <t>Preço/Vendas</t>
  </si>
  <si>
    <t>Dolar Comercial em 30/12/2004 : 2,6540</t>
  </si>
  <si>
    <t>Preço da Ação PN em 30/12/2004 : R$ 62,99</t>
  </si>
  <si>
    <t>PL/Crescimento</t>
  </si>
  <si>
    <t>Introdução</t>
  </si>
  <si>
    <t>Seu programa de investimentos reflete a estratégia da Vale de se tornar uma empresa diversificada de mineração, e a inauguração de Sossego (cobre) marca o início dessa meta. Além disso, ampliou, nos ultimos anos, os investimentos em pesquisa geológica, com os recursos adicionais sendo destinados à prospecção de novos depósitos minerais em outros países. O orçamento consolidado para 2005 é de US$3,3 Bi e até 2010 de aproximadamente US$13,0 Bi. Em relação à 2004, os valores de 2005 são substancialmente superiores. Destacam-se os investimento em exploração de carvão, Paragominas e as expansões da planta da Alunorte. A partir de 2010 a Vale deverá continuar a fazer altos investimentos, pois algumas minas entrarão em exaustão, e segundo alguns analistas, a expansão das minas no mundo estará restrito pela excassez de equipamentos, empreiteiras e pneus. Assim consideramos um percentual de 20 % do EBITDA, do ano anterior, para ser utilizado em investimentos em manutenção e no crescimento orgânico.</t>
  </si>
  <si>
    <t>Minério de Ferro</t>
  </si>
  <si>
    <t>Acreditamos numa manutenção dos preços mesmo após a alta de Março de 2005 (71,5%).Pelos motivos apresentados anteriormente eles podem, inclusive, sofrer pequenos reajustes, dependendo da demanda da China, que deve continuar alta, ainda por alguns anos.</t>
  </si>
  <si>
    <t>Desde a sua privatização em 1997a Vale paga 50% do seu lucro líquido em dividendos. Como tem forte geração de caixa nos últimos anos e projeções, consideramos um aumento nesse percentual, que pode chegar até 75% do lucro.</t>
  </si>
  <si>
    <t>Risco Vale</t>
  </si>
  <si>
    <t>Pelo fato de não acreditarmos que o Brasil (Risco Soberano) chegue a Investment Grade, não achamos que a Vale alcançará, também.</t>
  </si>
  <si>
    <t>Financiamentos</t>
  </si>
  <si>
    <t>Acreditamos numa queda do volume de financiamentos, pelo fato da empresa se tornar auto-suficiente na geração de caixa. Consequentemente esperamos uma diminuição nas taxas de seus financiamentos. Serão considerados novos empréstimos para manter o cronograma de investimentos, desde que, as taxas sejam atraentes. A Vale é a única empresa brasileira a ter emitido um bônus de 30 anos.</t>
  </si>
  <si>
    <t>Prêmio de Risco</t>
  </si>
  <si>
    <t>Trabalhamos com um prêmio de risco de 3,8% a partir de 2006. Utilizamos a Selic como taxa livre de risco, por ser a taxa de juros paga pelo governo Brasileiro, e o IBOVESPA como Risco Mercado.</t>
  </si>
  <si>
    <t>Logistica</t>
  </si>
  <si>
    <t>Para a análise e composição das premissas e projeções foram utilizadas diversas fontes de informações, tais como: mídia especializada, site da internet da CVRD (www.cvrd.com.br), dados da palestra realizado pelo Sr. Roberto Castelo Branco, Diretor de Relações com Investidores, informações impressas de empresas de consultoria. Com base nestas informações e nas ferramentas utilizadas em anexo, elaboramos o que para nós se aproxima do valor da empresa.
O setor de minerio de ferro está atravessando um periodo sem precedentes na história, impulsionado pela forte demanda da China. Nesse sentido, a expectativa é de manutenção dos preços, após o aumento de 71,5% em  Março/2005, que aliado ao aumento de volume das vendas em função da antecipação de investimentos, se traduz numa expressiva geração de caixa para a Vale do Rio Doce.</t>
  </si>
  <si>
    <t>1 - Introdução</t>
  </si>
  <si>
    <t>2 - Premissas</t>
  </si>
  <si>
    <t>3 - Balanço Patrimonial</t>
  </si>
  <si>
    <t>4 - Demonstração de Resultados do Exercício</t>
  </si>
  <si>
    <t>5 - Fluxo de Caixa</t>
  </si>
  <si>
    <t>6 - Indicadores de Desempenho</t>
  </si>
  <si>
    <t>7 - Cálculos</t>
  </si>
  <si>
    <t>8 - Investimentos</t>
  </si>
  <si>
    <t>9 - Financiamentos</t>
  </si>
  <si>
    <t>10 - Fluxo de Caixa Livre da Empresa</t>
  </si>
  <si>
    <t>11 - Fluxo de Caixa Livre do Acionista</t>
  </si>
  <si>
    <t>12 - Análise Relativa</t>
  </si>
  <si>
    <t>13 - Ciclo Econômico</t>
  </si>
  <si>
    <t>14 - Gráficos</t>
  </si>
  <si>
    <t>Índice</t>
  </si>
  <si>
    <t>Ativos Não Operacionais</t>
  </si>
  <si>
    <t>Valor da Empresa</t>
  </si>
  <si>
    <t>Valor do Patrimônio</t>
  </si>
  <si>
    <t>Total de Ações (ON + PN)</t>
  </si>
  <si>
    <t>50% + 1 das ações ON</t>
  </si>
  <si>
    <t>Vl máximo da proposta</t>
  </si>
  <si>
    <t>Investimento</t>
  </si>
  <si>
    <t>Bloco</t>
  </si>
  <si>
    <t>Mais</t>
  </si>
  <si>
    <t>Freqüência</t>
  </si>
  <si>
    <t>% cumulativo</t>
  </si>
  <si>
    <t>Preço do Minério</t>
  </si>
  <si>
    <t>Variáveis</t>
  </si>
  <si>
    <t>Qtd Venda do Mínério</t>
  </si>
  <si>
    <t>Var Média Anual</t>
  </si>
  <si>
    <t>Preço do Ferro</t>
  </si>
  <si>
    <t>Vol Vendas</t>
  </si>
  <si>
    <t>Preço Dólar</t>
  </si>
  <si>
    <t>Tx de cresc.</t>
  </si>
  <si>
    <t>Volume</t>
  </si>
  <si>
    <t>Tx de Cresc.</t>
  </si>
  <si>
    <t>Com o aumento da produção devido ao aumento nas vendas, conseqüentemente os serviços de logísticas serão imprescindíveis como parte estratégica alavancando resultados também expressivos.</t>
  </si>
  <si>
    <t>Análise de Sensibilidade</t>
  </si>
  <si>
    <t>Cálculos e Índices</t>
  </si>
  <si>
    <t>Volume de Vendas</t>
  </si>
  <si>
    <t>Variação no Crescimento da Receita</t>
  </si>
  <si>
    <t>Mínimo</t>
  </si>
  <si>
    <t>Máximo</t>
  </si>
  <si>
    <t>Preço Ferro</t>
  </si>
  <si>
    <t>Vl. Da Ação</t>
  </si>
  <si>
    <t>Posição</t>
  </si>
  <si>
    <t>TOTAL</t>
  </si>
  <si>
    <t>Português</t>
  </si>
  <si>
    <t>Inglês</t>
  </si>
  <si>
    <t>Reais</t>
  </si>
  <si>
    <t>Mil Reais</t>
  </si>
  <si>
    <t>(Coloque aqui Logotipo)</t>
  </si>
  <si>
    <t>Voltar índice</t>
  </si>
  <si>
    <t>1 - Valores em 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</si>
</sst>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5">
    <numFmt numFmtId="164" formatCode="_(* #,##0_);_(* \(#,##0\);_(* &quot;-&quot;_);_(@_)"/>
    <numFmt numFmtId="165" formatCode="_(* #,##0.00_);_(* \(#,##0.00\);_(* &quot;-&quot;??_);_(@_)"/>
    <numFmt numFmtId="166" formatCode="_(&quot;kr&quot;\ * #,##0_);_(&quot;kr&quot;\ * \(#,##0\);_(&quot;kr&quot;\ * &quot;-&quot;_);_(@_)"/>
    <numFmt numFmtId="167" formatCode="_(&quot;kr&quot;\ * #,##0.00_);_(&quot;kr&quot;\ * \(#,##0.00\);_(&quot;kr&quot;\ * &quot;-&quot;??_);_(@_)"/>
    <numFmt numFmtId="168" formatCode="0.0%"/>
    <numFmt numFmtId="169" formatCode="#,##0.0_);[Red]\(#,##0.0\)"/>
    <numFmt numFmtId="170" formatCode="#,##0.0000_);[Red]\(#,##0.0000\)"/>
    <numFmt numFmtId="171" formatCode="_ * #,##0.00_ ;_ * \-#,##0.00_ ;_ * &quot;-&quot;??_ ;_ @_ "/>
    <numFmt numFmtId="172" formatCode="_ * #,##0_ ;_ * \-#,##0_ ;_ * &quot;-&quot;??_ ;_ @_ "/>
    <numFmt numFmtId="173" formatCode="_(* #,##0_);_(* \(#,##0\);_(* &quot;-&quot;??_);_(@_)"/>
    <numFmt numFmtId="174" formatCode="_ [$€]\ * #,##0.00_ ;_ [$€]\ * \-#,##0.00_ ;_ [$€]\ * &quot;-&quot;??_ ;_ @_ "/>
    <numFmt numFmtId="175" formatCode="_(* #,##0.0000_);_(* \(#,##0.0000\);_(* &quot;-&quot;_);_(@_)"/>
    <numFmt numFmtId="176" formatCode="_(&quot;$&quot;* #,##0_);_(&quot;$&quot;* \(#,##0\);_(&quot;$&quot;* &quot;-&quot;_);_(@_)"/>
    <numFmt numFmtId="177" formatCode="_(&quot;$&quot;* #,##0.00_);_(&quot;$&quot;* \(#,##0.00\);_(&quot;$&quot;* &quot;-&quot;??_);_(@_)"/>
    <numFmt numFmtId="178" formatCode="0.0"/>
    <numFmt numFmtId="179" formatCode="[$USD]\ #,##0.00"/>
    <numFmt numFmtId="180" formatCode="_(* #,##0_);_(* \(#,##0\);_(* &quot;-&quot;????_);_(@_)"/>
    <numFmt numFmtId="181" formatCode="yyyy"/>
    <numFmt numFmtId="182" formatCode="_ * #,##0.0_ ;_ * \-#,##0.0_ ;_ * &quot;-&quot;??_ ;_ @_ "/>
    <numFmt numFmtId="183" formatCode="#,##0.0000"/>
    <numFmt numFmtId="184" formatCode="&quot;R$ &quot;#,##0.00"/>
    <numFmt numFmtId="185" formatCode="_ * #,##0.000_ ;_ * \-#,##0.000_ ;_ * &quot;-&quot;??_ ;_ @_ "/>
    <numFmt numFmtId="186" formatCode="[$US$]\ #,##0.0_);[Red]\([$US$]\ #,##0.0\)"/>
    <numFmt numFmtId="187" formatCode="&quot;R$ &quot;#,##0.0_);[Red]\(&quot;R$ &quot;#,##0.0\)"/>
    <numFmt numFmtId="188" formatCode="0.0000"/>
    <numFmt numFmtId="189" formatCode="0.000%"/>
    <numFmt numFmtId="190" formatCode="_(* #,##0.00_);_(* \(#,##0.00\);_(* &quot;-&quot;_);_(@_)"/>
    <numFmt numFmtId="191" formatCode=".00%"/>
    <numFmt numFmtId="192" formatCode="[$US$]\ #,##0.00"/>
    <numFmt numFmtId="193" formatCode="[$-416]mmm/yy;@"/>
    <numFmt numFmtId="194" formatCode="[$-416]yyyy;@"/>
    <numFmt numFmtId="195" formatCode="0.00_)"/>
    <numFmt numFmtId="196" formatCode="_-* #,##0\ _k_r_-;\-* #,##0\ _k_r_-;_-* &quot;-&quot;\ _k_r_-;_-@_-"/>
    <numFmt numFmtId="197" formatCode="_-* #,##0.00\ _k_r_-;\-* #,##0.00\ _k_r_-;_-* &quot;-&quot;??\ _k_r_-;_-@_-"/>
    <numFmt numFmtId="198" formatCode="_-* #,##0\ &quot;kr&quot;_-;\-* #,##0\ &quot;kr&quot;_-;_-* &quot;-&quot;\ &quot;kr&quot;_-;_-@_-"/>
  </numFmts>
  <fonts count="76">
    <font>
      <sz val="10"/>
      <name val="Arial"/>
    </font>
    <font>
      <sz val="10"/>
      <name val="Arial"/>
      <family val="2"/>
    </font>
    <font>
      <sz val="10"/>
      <name val="Times New Roman"/>
      <family val="1"/>
    </font>
    <font>
      <sz val="11"/>
      <name val="Times New Roman"/>
      <family val="1"/>
    </font>
    <font>
      <b/>
      <sz val="10"/>
      <name val="Sylfaen"/>
      <family val="1"/>
    </font>
    <font>
      <sz val="10"/>
      <name val="Sylfaen"/>
      <family val="1"/>
    </font>
    <font>
      <sz val="11"/>
      <color indexed="10"/>
      <name val="Times New Roman"/>
      <family val="1"/>
    </font>
    <font>
      <sz val="12"/>
      <color indexed="16"/>
      <name val="Times New Roman"/>
      <family val="1"/>
    </font>
    <font>
      <b/>
      <sz val="10"/>
      <name val="Arial"/>
      <family val="2"/>
    </font>
    <font>
      <b/>
      <sz val="11"/>
      <name val="Times New Roman"/>
      <family val="1"/>
    </font>
    <font>
      <b/>
      <sz val="7"/>
      <name val="Arial,Bold"/>
    </font>
    <font>
      <sz val="7"/>
      <name val="Arial"/>
      <family val="2"/>
    </font>
    <font>
      <b/>
      <sz val="7"/>
      <name val="Arial"/>
      <family val="2"/>
    </font>
    <font>
      <b/>
      <sz val="9.5"/>
      <name val="Arial,Bold"/>
    </font>
    <font>
      <b/>
      <sz val="9.5"/>
      <color indexed="63"/>
      <name val="Arial"/>
      <family val="2"/>
    </font>
    <font>
      <sz val="8.5"/>
      <color indexed="63"/>
      <name val="Arial"/>
      <family val="2"/>
    </font>
    <font>
      <b/>
      <sz val="7.5"/>
      <color indexed="63"/>
      <name val="Arial"/>
      <family val="2"/>
    </font>
    <font>
      <sz val="10"/>
      <name val="Arial"/>
      <family val="2"/>
    </font>
    <font>
      <b/>
      <sz val="10"/>
      <color indexed="16"/>
      <name val="Arial"/>
      <family val="2"/>
    </font>
    <font>
      <b/>
      <sz val="10"/>
      <color indexed="63"/>
      <name val="Arial"/>
      <family val="2"/>
    </font>
    <font>
      <sz val="10"/>
      <color indexed="63"/>
      <name val="Arial"/>
      <family val="2"/>
    </font>
    <font>
      <sz val="10"/>
      <color indexed="10"/>
      <name val="Arial"/>
      <family val="2"/>
    </font>
    <font>
      <sz val="10"/>
      <name val="Arial"/>
      <family val="2"/>
    </font>
    <font>
      <sz val="10"/>
      <name val="Sylfaen"/>
      <family val="1"/>
    </font>
    <font>
      <b/>
      <sz val="12"/>
      <color indexed="18"/>
      <name val="Optimum"/>
    </font>
    <font>
      <b/>
      <sz val="14"/>
      <name val="Sylfaen"/>
      <family val="1"/>
    </font>
    <font>
      <b/>
      <u/>
      <sz val="10"/>
      <name val="Arial"/>
      <family val="2"/>
    </font>
    <font>
      <b/>
      <sz val="12"/>
      <name val="Arial"/>
      <family val="2"/>
    </font>
    <font>
      <b/>
      <sz val="12"/>
      <name val="Symbol"/>
      <family val="1"/>
      <charset val="2"/>
    </font>
    <font>
      <b/>
      <sz val="12"/>
      <name val="Sylfaen"/>
      <family val="1"/>
    </font>
    <font>
      <sz val="10"/>
      <name val="Arial Rounded MT Bold"/>
      <family val="2"/>
    </font>
    <font>
      <sz val="12"/>
      <name val="Symbol"/>
      <family val="1"/>
      <charset val="2"/>
    </font>
    <font>
      <sz val="12"/>
      <name val="Sylfaen"/>
      <family val="1"/>
    </font>
    <font>
      <b/>
      <vertAlign val="subscript"/>
      <sz val="10"/>
      <name val="Arial"/>
      <family val="2"/>
    </font>
    <font>
      <sz val="8"/>
      <color indexed="81"/>
      <name val="Tahoma"/>
      <family val="2"/>
    </font>
    <font>
      <b/>
      <sz val="8"/>
      <color indexed="81"/>
      <name val="Tahoma"/>
      <family val="2"/>
    </font>
    <font>
      <u val="singleAccounting"/>
      <sz val="10"/>
      <name val="Arial Rounded MT Bold"/>
      <family val="2"/>
    </font>
    <font>
      <b/>
      <sz val="10"/>
      <name val="Arial Rounded MT Bold"/>
      <family val="2"/>
    </font>
    <font>
      <b/>
      <sz val="18"/>
      <name val="Arial"/>
      <family val="2"/>
    </font>
    <font>
      <b/>
      <sz val="18"/>
      <color indexed="9"/>
      <name val="Sylfaen"/>
      <family val="1"/>
    </font>
    <font>
      <sz val="8"/>
      <name val="Arial"/>
      <family val="2"/>
    </font>
    <font>
      <sz val="10"/>
      <color indexed="8"/>
      <name val="Arial"/>
      <family val="2"/>
    </font>
    <font>
      <sz val="10"/>
      <color indexed="8"/>
      <name val="Arial"/>
      <family val="2"/>
    </font>
    <font>
      <b/>
      <sz val="12"/>
      <color indexed="81"/>
      <name val="Tahoma"/>
      <family val="2"/>
    </font>
    <font>
      <b/>
      <sz val="10"/>
      <color indexed="8"/>
      <name val="Arial"/>
      <family val="2"/>
    </font>
    <font>
      <b/>
      <sz val="10"/>
      <name val="Symbol"/>
      <family val="1"/>
      <charset val="2"/>
    </font>
    <font>
      <b/>
      <i/>
      <sz val="10"/>
      <color indexed="16"/>
      <name val="Arial"/>
      <family val="2"/>
    </font>
    <font>
      <sz val="8"/>
      <name val="Arial"/>
      <family val="2"/>
    </font>
    <font>
      <b/>
      <u/>
      <sz val="14"/>
      <name val="Arial"/>
      <family val="2"/>
    </font>
    <font>
      <b/>
      <sz val="18"/>
      <color indexed="81"/>
      <name val="Tahoma"/>
      <family val="2"/>
    </font>
    <font>
      <sz val="10"/>
      <color indexed="9"/>
      <name val="Arial"/>
      <family val="2"/>
    </font>
    <font>
      <b/>
      <i/>
      <u/>
      <sz val="10"/>
      <name val="Arial"/>
      <family val="2"/>
    </font>
    <font>
      <b/>
      <sz val="10"/>
      <color indexed="11"/>
      <name val="Arial"/>
      <family val="2"/>
    </font>
    <font>
      <i/>
      <sz val="10"/>
      <name val="Arial"/>
      <family val="2"/>
    </font>
    <font>
      <u/>
      <sz val="14"/>
      <name val="Arial"/>
      <family val="2"/>
    </font>
    <font>
      <b/>
      <sz val="10"/>
      <color indexed="9"/>
      <name val="Arial"/>
      <family val="2"/>
    </font>
    <font>
      <b/>
      <sz val="10"/>
      <color indexed="13"/>
      <name val="Arial"/>
      <family val="2"/>
    </font>
    <font>
      <b/>
      <sz val="10"/>
      <color indexed="11"/>
      <name val="Symbol"/>
      <family val="1"/>
      <charset val="2"/>
    </font>
    <font>
      <b/>
      <i/>
      <sz val="10"/>
      <color indexed="16"/>
      <name val="Arial"/>
      <family val="2"/>
    </font>
    <font>
      <b/>
      <i/>
      <sz val="9"/>
      <color indexed="9"/>
      <name val="Arial"/>
      <family val="2"/>
    </font>
    <font>
      <sz val="12"/>
      <name val="Arial"/>
      <family val="2"/>
    </font>
    <font>
      <b/>
      <sz val="10"/>
      <name val="Arial"/>
      <family val="2"/>
    </font>
    <font>
      <b/>
      <sz val="10"/>
      <color theme="1" tint="4.9989318521683403E-2"/>
      <name val="Arial"/>
      <family val="2"/>
    </font>
    <font>
      <sz val="10"/>
      <name val="Calibri"/>
      <family val="2"/>
    </font>
    <font>
      <b/>
      <sz val="14"/>
      <name val="Calibri"/>
      <family val="2"/>
    </font>
    <font>
      <b/>
      <i/>
      <sz val="16"/>
      <name val="Calibri"/>
      <family val="2"/>
    </font>
    <font>
      <b/>
      <sz val="10"/>
      <name val="Calibri"/>
      <family val="2"/>
    </font>
    <font>
      <b/>
      <sz val="12"/>
      <name val="Calibri"/>
      <family val="2"/>
    </font>
    <font>
      <b/>
      <i/>
      <sz val="10"/>
      <name val="Calibri"/>
      <family val="2"/>
    </font>
    <font>
      <b/>
      <sz val="10"/>
      <color indexed="8"/>
      <name val="Calibri"/>
      <family val="2"/>
    </font>
    <font>
      <b/>
      <i/>
      <sz val="16"/>
      <name val="Helv"/>
    </font>
    <font>
      <sz val="12"/>
      <name val="Times New Roman"/>
      <family val="1"/>
    </font>
    <font>
      <sz val="10"/>
      <color theme="1"/>
      <name val="Calibri"/>
      <family val="2"/>
    </font>
    <font>
      <sz val="9"/>
      <color indexed="81"/>
      <name val="Tahoma"/>
      <family val="2"/>
    </font>
    <font>
      <b/>
      <sz val="9"/>
      <color indexed="81"/>
      <name val="Tahoma"/>
      <family val="2"/>
    </font>
    <font>
      <u/>
      <sz val="10"/>
      <color theme="10"/>
      <name val="Arial"/>
      <family val="2"/>
    </font>
  </fonts>
  <fills count="15">
    <fill>
      <patternFill patternType="none"/>
    </fill>
    <fill>
      <patternFill patternType="gray125"/>
    </fill>
    <fill>
      <patternFill patternType="solid">
        <fgColor indexed="13"/>
        <bgColor indexed="64"/>
      </patternFill>
    </fill>
    <fill>
      <patternFill patternType="solid">
        <fgColor indexed="43"/>
        <bgColor indexed="43"/>
      </patternFill>
    </fill>
    <fill>
      <patternFill patternType="solid">
        <fgColor indexed="42"/>
        <bgColor indexed="64"/>
      </patternFill>
    </fill>
    <fill>
      <patternFill patternType="solid">
        <fgColor indexed="31"/>
        <bgColor indexed="64"/>
      </patternFill>
    </fill>
    <fill>
      <patternFill patternType="solid">
        <fgColor indexed="43"/>
        <bgColor indexed="64"/>
      </patternFill>
    </fill>
    <fill>
      <patternFill patternType="solid">
        <fgColor indexed="9"/>
        <bgColor indexed="24"/>
      </patternFill>
    </fill>
    <fill>
      <patternFill patternType="solid">
        <fgColor indexed="22"/>
        <bgColor indexed="24"/>
      </patternFill>
    </fill>
    <fill>
      <patternFill patternType="solid">
        <fgColor indexed="8"/>
        <bgColor indexed="64"/>
      </patternFill>
    </fill>
    <fill>
      <patternFill patternType="solid">
        <fgColor indexed="61"/>
        <bgColor indexed="64"/>
      </patternFill>
    </fill>
    <fill>
      <patternFill patternType="solid">
        <fgColor indexed="21"/>
        <bgColor indexed="24"/>
      </patternFill>
    </fill>
    <fill>
      <patternFill patternType="solid">
        <fgColor indexed="8"/>
        <bgColor indexed="24"/>
      </patternFill>
    </fill>
    <fill>
      <patternFill patternType="solid">
        <fgColor theme="3" tint="0.39997558519241921"/>
        <bgColor indexed="64"/>
      </patternFill>
    </fill>
    <fill>
      <patternFill patternType="solid">
        <fgColor theme="3" tint="0.59999389629810485"/>
        <bgColor indexed="64"/>
      </patternFill>
    </fill>
  </fills>
  <borders count="69">
    <border>
      <left/>
      <right/>
      <top/>
      <bottom/>
      <diagonal/>
    </border>
    <border>
      <left/>
      <right/>
      <top/>
      <bottom style="medium">
        <color indexed="64"/>
      </bottom>
      <diagonal/>
    </border>
    <border>
      <left/>
      <right/>
      <top/>
      <bottom style="medium">
        <color indexed="19"/>
      </bottom>
      <diagonal/>
    </border>
    <border>
      <left/>
      <right/>
      <top/>
      <bottom style="thin">
        <color indexed="19"/>
      </bottom>
      <diagonal/>
    </border>
    <border>
      <left/>
      <right/>
      <top style="medium">
        <color indexed="19"/>
      </top>
      <bottom style="medium">
        <color indexed="19"/>
      </bottom>
      <diagonal/>
    </border>
    <border>
      <left/>
      <right/>
      <top style="medium">
        <color indexed="19"/>
      </top>
      <bottom style="thin">
        <color indexed="19"/>
      </bottom>
      <diagonal/>
    </border>
    <border>
      <left/>
      <right/>
      <top style="thin">
        <color indexed="19"/>
      </top>
      <bottom/>
      <diagonal/>
    </border>
    <border>
      <left/>
      <right/>
      <top style="medium">
        <color indexed="19"/>
      </top>
      <bottom/>
      <diagonal/>
    </border>
    <border>
      <left/>
      <right/>
      <top style="thick">
        <color indexed="17"/>
      </top>
      <bottom style="medium">
        <color indexed="17"/>
      </bottom>
      <diagonal/>
    </border>
    <border>
      <left/>
      <right/>
      <top style="medium">
        <color indexed="17"/>
      </top>
      <bottom style="thin">
        <color indexed="17"/>
      </bottom>
      <diagonal/>
    </border>
    <border>
      <left/>
      <right/>
      <top/>
      <bottom style="thin">
        <color indexed="64"/>
      </bottom>
      <diagonal/>
    </border>
    <border>
      <left style="thick">
        <color indexed="9"/>
      </left>
      <right style="thick">
        <color indexed="9"/>
      </right>
      <top/>
      <bottom/>
      <diagonal/>
    </border>
    <border>
      <left style="thick">
        <color indexed="9"/>
      </left>
      <right style="thick">
        <color indexed="9"/>
      </right>
      <top style="medium">
        <color indexed="64"/>
      </top>
      <bottom style="medium">
        <color indexed="64"/>
      </bottom>
      <diagonal/>
    </border>
    <border>
      <left/>
      <right/>
      <top style="thin">
        <color indexed="17"/>
      </top>
      <bottom style="medium">
        <color indexed="17"/>
      </bottom>
      <diagonal/>
    </border>
    <border>
      <left/>
      <right/>
      <top style="medium">
        <color indexed="64"/>
      </top>
      <bottom style="medium">
        <color indexed="64"/>
      </bottom>
      <diagonal/>
    </border>
    <border>
      <left style="thick">
        <color indexed="9"/>
      </left>
      <right/>
      <top style="medium">
        <color indexed="64"/>
      </top>
      <bottom/>
      <diagonal/>
    </border>
    <border>
      <left/>
      <right/>
      <top style="thin">
        <color indexed="17"/>
      </top>
      <bottom style="thin">
        <color indexed="17"/>
      </bottom>
      <diagonal/>
    </border>
    <border>
      <left/>
      <right/>
      <top style="thin">
        <color indexed="17"/>
      </top>
      <bottom style="thin">
        <color indexed="9"/>
      </bottom>
      <diagonal/>
    </border>
    <border>
      <left/>
      <right style="thin">
        <color indexed="9"/>
      </right>
      <top style="thin">
        <color indexed="17"/>
      </top>
      <bottom style="thin">
        <color indexed="9"/>
      </bottom>
      <diagonal/>
    </border>
    <border>
      <left/>
      <right/>
      <top style="thin">
        <color indexed="9"/>
      </top>
      <bottom/>
      <diagonal/>
    </border>
    <border>
      <left/>
      <right/>
      <top style="thin">
        <color indexed="62"/>
      </top>
      <bottom style="thin">
        <color indexed="9"/>
      </bottom>
      <diagonal/>
    </border>
    <border>
      <left/>
      <right/>
      <top style="thin">
        <color indexed="23"/>
      </top>
      <bottom style="thin">
        <color indexed="9"/>
      </bottom>
      <diagonal/>
    </border>
    <border>
      <left/>
      <right/>
      <top style="thin">
        <color indexed="23"/>
      </top>
      <bottom/>
      <diagonal/>
    </border>
    <border>
      <left style="thin">
        <color indexed="21"/>
      </left>
      <right/>
      <top/>
      <bottom/>
      <diagonal/>
    </border>
    <border>
      <left/>
      <right style="thin">
        <color indexed="21"/>
      </right>
      <top/>
      <bottom/>
      <diagonal/>
    </border>
    <border>
      <left style="thin">
        <color indexed="21"/>
      </left>
      <right/>
      <top/>
      <bottom style="thick">
        <color indexed="21"/>
      </bottom>
      <diagonal/>
    </border>
    <border>
      <left/>
      <right/>
      <top/>
      <bottom style="thick">
        <color indexed="21"/>
      </bottom>
      <diagonal/>
    </border>
    <border>
      <left/>
      <right style="thin">
        <color indexed="21"/>
      </right>
      <top/>
      <bottom style="thick">
        <color indexed="21"/>
      </bottom>
      <diagonal/>
    </border>
    <border>
      <left style="thin">
        <color indexed="21"/>
      </left>
      <right/>
      <top style="thick">
        <color indexed="21"/>
      </top>
      <bottom style="thin">
        <color indexed="64"/>
      </bottom>
      <diagonal/>
    </border>
    <border>
      <left/>
      <right/>
      <top style="thick">
        <color indexed="21"/>
      </top>
      <bottom style="thin">
        <color indexed="64"/>
      </bottom>
      <diagonal/>
    </border>
    <border>
      <left/>
      <right style="thin">
        <color indexed="21"/>
      </right>
      <top style="thick">
        <color indexed="21"/>
      </top>
      <bottom style="thin">
        <color indexed="64"/>
      </bottom>
      <diagonal/>
    </border>
    <border>
      <left/>
      <right/>
      <top/>
      <bottom style="thin">
        <color indexed="23"/>
      </bottom>
      <diagonal/>
    </border>
    <border>
      <left style="thick">
        <color indexed="9"/>
      </left>
      <right style="thick">
        <color indexed="9"/>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9"/>
      </left>
      <right/>
      <top style="medium">
        <color indexed="64"/>
      </top>
      <bottom style="medium">
        <color indexed="64"/>
      </bottom>
      <diagonal/>
    </border>
    <border>
      <left style="thin">
        <color indexed="11"/>
      </left>
      <right/>
      <top/>
      <bottom/>
      <diagonal/>
    </border>
    <border>
      <left/>
      <right style="thin">
        <color indexed="1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13"/>
      </left>
      <right style="thin">
        <color indexed="64"/>
      </right>
      <top style="thin">
        <color indexed="13"/>
      </top>
      <bottom style="thin">
        <color indexed="13"/>
      </bottom>
      <diagonal/>
    </border>
    <border>
      <left style="thick">
        <color indexed="21"/>
      </left>
      <right/>
      <top style="thin">
        <color indexed="15"/>
      </top>
      <bottom/>
      <diagonal/>
    </border>
    <border>
      <left/>
      <right/>
      <top style="thin">
        <color indexed="15"/>
      </top>
      <bottom/>
      <diagonal/>
    </border>
    <border>
      <left/>
      <right style="thick">
        <color indexed="21"/>
      </right>
      <top style="thin">
        <color indexed="15"/>
      </top>
      <bottom/>
      <diagonal/>
    </border>
    <border>
      <left style="thick">
        <color indexed="21"/>
      </left>
      <right/>
      <top style="thin">
        <color indexed="15"/>
      </top>
      <bottom style="thick">
        <color indexed="21"/>
      </bottom>
      <diagonal/>
    </border>
    <border>
      <left/>
      <right/>
      <top style="thin">
        <color indexed="15"/>
      </top>
      <bottom style="thick">
        <color indexed="21"/>
      </bottom>
      <diagonal/>
    </border>
    <border>
      <left/>
      <right style="thick">
        <color indexed="21"/>
      </right>
      <top style="thin">
        <color indexed="15"/>
      </top>
      <bottom style="thick">
        <color indexed="21"/>
      </bottom>
      <diagonal/>
    </border>
    <border>
      <left style="thick">
        <color indexed="21"/>
      </left>
      <right/>
      <top style="thick">
        <color indexed="21"/>
      </top>
      <bottom/>
      <diagonal/>
    </border>
    <border>
      <left/>
      <right/>
      <top style="thick">
        <color indexed="21"/>
      </top>
      <bottom/>
      <diagonal/>
    </border>
    <border>
      <left/>
      <right style="thick">
        <color indexed="21"/>
      </right>
      <top style="thick">
        <color indexed="21"/>
      </top>
      <bottom/>
      <diagonal/>
    </border>
    <border>
      <left/>
      <right/>
      <top style="medium">
        <color indexed="64"/>
      </top>
      <bottom style="thin">
        <color indexed="64"/>
      </bottom>
      <diagonal/>
    </border>
    <border>
      <left/>
      <right/>
      <top style="medium">
        <color indexed="64"/>
      </top>
      <bottom/>
      <diagonal/>
    </border>
    <border>
      <left/>
      <right/>
      <top style="thin">
        <color indexed="64"/>
      </top>
      <bottom/>
      <diagonal/>
    </border>
    <border>
      <left style="thin">
        <color indexed="11"/>
      </left>
      <right/>
      <top/>
      <bottom style="medium">
        <color indexed="11"/>
      </bottom>
      <diagonal/>
    </border>
    <border>
      <left/>
      <right style="thin">
        <color indexed="11"/>
      </right>
      <top/>
      <bottom style="medium">
        <color indexed="11"/>
      </bottom>
      <diagonal/>
    </border>
    <border>
      <left/>
      <right/>
      <top/>
      <bottom style="medium">
        <color indexed="11"/>
      </bottom>
      <diagonal/>
    </border>
    <border>
      <left style="medium">
        <color theme="3"/>
      </left>
      <right/>
      <top style="medium">
        <color theme="3"/>
      </top>
      <bottom/>
      <diagonal/>
    </border>
    <border>
      <left/>
      <right/>
      <top style="medium">
        <color theme="3"/>
      </top>
      <bottom/>
      <diagonal/>
    </border>
    <border>
      <left/>
      <right style="thin">
        <color theme="0"/>
      </right>
      <top style="medium">
        <color theme="3"/>
      </top>
      <bottom/>
      <diagonal/>
    </border>
    <border>
      <left style="medium">
        <color theme="3"/>
      </left>
      <right/>
      <top/>
      <bottom/>
      <diagonal/>
    </border>
    <border>
      <left/>
      <right style="thin">
        <color theme="0"/>
      </right>
      <top/>
      <bottom/>
      <diagonal/>
    </border>
    <border>
      <left style="medium">
        <color indexed="62"/>
      </left>
      <right style="thin">
        <color indexed="9"/>
      </right>
      <top style="medium">
        <color indexed="62"/>
      </top>
      <bottom style="thin">
        <color indexed="9"/>
      </bottom>
      <diagonal/>
    </border>
    <border>
      <left style="medium">
        <color theme="3"/>
      </left>
      <right/>
      <top/>
      <bottom style="thin">
        <color theme="0"/>
      </bottom>
      <diagonal/>
    </border>
    <border>
      <left/>
      <right/>
      <top/>
      <bottom style="thin">
        <color theme="0"/>
      </bottom>
      <diagonal/>
    </border>
    <border>
      <left/>
      <right style="thin">
        <color theme="0"/>
      </right>
      <top/>
      <bottom style="thin">
        <color theme="0"/>
      </bottom>
      <diagonal/>
    </border>
    <border>
      <left style="thin">
        <color indexed="64"/>
      </left>
      <right style="thin">
        <color indexed="64"/>
      </right>
      <top style="thin">
        <color indexed="64"/>
      </top>
      <bottom style="thin">
        <color indexed="64"/>
      </bottom>
      <diagonal/>
    </border>
    <border>
      <left/>
      <right style="medium">
        <color indexed="9"/>
      </right>
      <top style="medium">
        <color indexed="64"/>
      </top>
      <bottom style="medium">
        <color indexed="64"/>
      </bottom>
      <diagonal/>
    </border>
    <border>
      <left/>
      <right/>
      <top/>
      <bottom style="medium">
        <color auto="1"/>
      </bottom>
      <diagonal/>
    </border>
    <border>
      <left/>
      <right style="thick">
        <color indexed="9"/>
      </right>
      <top/>
      <bottom style="medium">
        <color auto="1"/>
      </bottom>
      <diagonal/>
    </border>
  </borders>
  <cellStyleXfs count="34">
    <xf numFmtId="0" fontId="0" fillId="0" borderId="0"/>
    <xf numFmtId="17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76" fontId="1" fillId="0" borderId="0" applyFont="0" applyFill="0" applyBorder="0" applyAlignment="0" applyProtection="0"/>
    <xf numFmtId="177" fontId="1" fillId="0" borderId="0" applyFont="0" applyFill="0" applyBorder="0" applyAlignment="0" applyProtection="0"/>
    <xf numFmtId="0" fontId="23" fillId="0" borderId="0"/>
    <xf numFmtId="0" fontId="1" fillId="0" borderId="0"/>
    <xf numFmtId="9" fontId="1" fillId="0" borderId="0" applyFont="0" applyFill="0" applyBorder="0" applyAlignment="0" applyProtection="0"/>
    <xf numFmtId="171" fontId="1" fillId="0" borderId="0" applyFont="0" applyFill="0" applyBorder="0" applyAlignment="0" applyProtection="0"/>
    <xf numFmtId="165" fontId="23" fillId="0" borderId="0" applyFont="0" applyFill="0" applyBorder="0" applyAlignment="0" applyProtection="0"/>
    <xf numFmtId="164" fontId="1" fillId="0" borderId="0" applyFont="0" applyFill="0" applyBorder="0" applyAlignment="0" applyProtection="0"/>
    <xf numFmtId="0" fontId="17" fillId="0" borderId="0"/>
    <xf numFmtId="165" fontId="17" fillId="0" borderId="0" applyFont="0" applyFill="0" applyBorder="0" applyAlignment="0" applyProtection="0"/>
    <xf numFmtId="174" fontId="17" fillId="0" borderId="0" applyFont="0" applyFill="0" applyBorder="0" applyAlignment="0" applyProtection="0"/>
    <xf numFmtId="195" fontId="70" fillId="0" borderId="0"/>
    <xf numFmtId="0" fontId="71" fillId="0" borderId="0"/>
    <xf numFmtId="0" fontId="72" fillId="0" borderId="0"/>
    <xf numFmtId="0" fontId="17" fillId="0" borderId="0"/>
    <xf numFmtId="9" fontId="17" fillId="0" borderId="0" applyFont="0" applyFill="0" applyBorder="0" applyAlignment="0" applyProtection="0"/>
    <xf numFmtId="9" fontId="71" fillId="0" borderId="0" applyFont="0" applyFill="0" applyBorder="0" applyAlignment="0" applyProtection="0"/>
    <xf numFmtId="9" fontId="17" fillId="0" borderId="0" applyFont="0" applyFill="0" applyBorder="0" applyAlignment="0" applyProtection="0"/>
    <xf numFmtId="9" fontId="71" fillId="0" borderId="0" applyFont="0" applyFill="0" applyBorder="0" applyAlignment="0" applyProtection="0"/>
    <xf numFmtId="171" fontId="17" fillId="0" borderId="0" applyFont="0" applyFill="0" applyBorder="0" applyAlignment="0" applyProtection="0"/>
    <xf numFmtId="171" fontId="17"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96" fontId="60" fillId="0" borderId="0" applyFont="0" applyFill="0" applyBorder="0" applyAlignment="0" applyProtection="0"/>
    <xf numFmtId="197" fontId="60" fillId="0" borderId="0" applyFont="0" applyFill="0" applyBorder="0" applyAlignment="0" applyProtection="0"/>
    <xf numFmtId="198" fontId="60" fillId="0" borderId="0" applyFont="0" applyFill="0" applyBorder="0" applyAlignment="0" applyProtection="0"/>
    <xf numFmtId="166" fontId="71" fillId="0" borderId="0" applyFont="0" applyFill="0" applyBorder="0" applyAlignment="0" applyProtection="0"/>
    <xf numFmtId="167" fontId="71" fillId="0" borderId="0" applyFont="0" applyFill="0" applyBorder="0" applyAlignment="0" applyProtection="0"/>
    <xf numFmtId="171" fontId="17" fillId="0" borderId="0" applyFont="0" applyFill="0" applyBorder="0" applyAlignment="0" applyProtection="0"/>
    <xf numFmtId="0" fontId="75" fillId="0" borderId="0" applyNumberFormat="0" applyFill="0" applyBorder="0" applyAlignment="0" applyProtection="0"/>
  </cellStyleXfs>
  <cellXfs count="419">
    <xf numFmtId="0" fontId="0" fillId="0" borderId="0" xfId="0"/>
    <xf numFmtId="0" fontId="2" fillId="0" borderId="0" xfId="0" applyFont="1" applyProtection="1">
      <protection locked="0"/>
    </xf>
    <xf numFmtId="38" fontId="3" fillId="0" borderId="0" xfId="0" applyNumberFormat="1" applyFont="1" applyProtection="1">
      <protection locked="0"/>
    </xf>
    <xf numFmtId="38" fontId="6" fillId="0" borderId="0" xfId="0" applyNumberFormat="1" applyFont="1" applyProtection="1">
      <protection locked="0"/>
    </xf>
    <xf numFmtId="38" fontId="7" fillId="0" borderId="0" xfId="0" applyNumberFormat="1" applyFont="1" applyProtection="1">
      <protection locked="0"/>
    </xf>
    <xf numFmtId="38" fontId="5" fillId="0" borderId="0" xfId="0" applyNumberFormat="1" applyFont="1" applyProtection="1">
      <protection locked="0"/>
    </xf>
    <xf numFmtId="0" fontId="5" fillId="0" borderId="0" xfId="0" applyFont="1" applyProtection="1">
      <protection locked="0"/>
    </xf>
    <xf numFmtId="38" fontId="9" fillId="0" borderId="0" xfId="0" applyNumberFormat="1" applyFont="1" applyProtection="1">
      <protection locked="0"/>
    </xf>
    <xf numFmtId="0" fontId="10" fillId="0" borderId="0" xfId="0" applyFont="1" applyAlignment="1">
      <alignment vertical="center"/>
    </xf>
    <xf numFmtId="0" fontId="11" fillId="0" borderId="0" xfId="0" applyFont="1" applyAlignment="1">
      <alignment vertical="center"/>
    </xf>
    <xf numFmtId="0" fontId="0" fillId="0" borderId="0" xfId="0" applyAlignment="1">
      <alignment horizontal="justify" vertical="center" wrapText="1"/>
    </xf>
    <xf numFmtId="0" fontId="10" fillId="0" borderId="0" xfId="0" applyFont="1" applyAlignment="1">
      <alignment horizontal="justify" vertical="center" wrapText="1"/>
    </xf>
    <xf numFmtId="0" fontId="12" fillId="0" borderId="0" xfId="0" applyFont="1" applyAlignment="1">
      <alignment horizontal="justify" vertical="center" wrapText="1"/>
    </xf>
    <xf numFmtId="0" fontId="12" fillId="0" borderId="0" xfId="0" applyFont="1" applyAlignment="1">
      <alignment horizontal="left" vertical="center" wrapText="1" indent="1"/>
    </xf>
    <xf numFmtId="0" fontId="13" fillId="0" borderId="0" xfId="0" applyFont="1"/>
    <xf numFmtId="0" fontId="14" fillId="0" borderId="0" xfId="0" applyFont="1"/>
    <xf numFmtId="38" fontId="8" fillId="0" borderId="2" xfId="0" applyNumberFormat="1" applyFont="1" applyBorder="1" applyAlignment="1" applyProtection="1">
      <alignment horizontal="left"/>
      <protection locked="0"/>
    </xf>
    <xf numFmtId="38" fontId="8" fillId="0" borderId="3" xfId="0" applyNumberFormat="1" applyFont="1" applyBorder="1" applyAlignment="1">
      <alignment horizontal="left"/>
    </xf>
    <xf numFmtId="38" fontId="17" fillId="0" borderId="0" xfId="0" applyNumberFormat="1" applyFont="1" applyAlignment="1" applyProtection="1">
      <alignment horizontal="left" indent="1"/>
      <protection locked="0"/>
    </xf>
    <xf numFmtId="38" fontId="8" fillId="0" borderId="0" xfId="0" applyNumberFormat="1" applyFont="1" applyAlignment="1" applyProtection="1">
      <alignment horizontal="left" indent="2"/>
      <protection locked="0"/>
    </xf>
    <xf numFmtId="38" fontId="17" fillId="0" borderId="0" xfId="0" applyNumberFormat="1" applyFont="1" applyProtection="1">
      <protection locked="0"/>
    </xf>
    <xf numFmtId="38" fontId="17" fillId="0" borderId="0" xfId="0" applyNumberFormat="1" applyFont="1" applyAlignment="1" applyProtection="1">
      <alignment horizontal="left"/>
      <protection locked="0"/>
    </xf>
    <xf numFmtId="38" fontId="8" fillId="0" borderId="0" xfId="0" applyNumberFormat="1" applyFont="1" applyAlignment="1" applyProtection="1">
      <alignment horizontal="left"/>
      <protection locked="0"/>
    </xf>
    <xf numFmtId="38" fontId="8" fillId="0" borderId="4" xfId="0" applyNumberFormat="1" applyFont="1" applyBorder="1" applyAlignment="1" applyProtection="1">
      <alignment horizontal="left"/>
      <protection locked="0"/>
    </xf>
    <xf numFmtId="38" fontId="17" fillId="0" borderId="0" xfId="0" applyNumberFormat="1" applyFont="1" applyAlignment="1" applyProtection="1">
      <alignment horizontal="fill"/>
      <protection locked="0"/>
    </xf>
    <xf numFmtId="38" fontId="8" fillId="0" borderId="0" xfId="0" applyNumberFormat="1" applyFont="1" applyProtection="1">
      <protection locked="0"/>
    </xf>
    <xf numFmtId="38" fontId="8" fillId="0" borderId="3" xfId="0" applyNumberFormat="1" applyFont="1" applyBorder="1" applyProtection="1">
      <protection locked="0"/>
    </xf>
    <xf numFmtId="38" fontId="8" fillId="0" borderId="2" xfId="0" applyNumberFormat="1" applyFont="1" applyBorder="1" applyAlignment="1">
      <alignment horizontal="left"/>
    </xf>
    <xf numFmtId="38" fontId="8" fillId="0" borderId="5" xfId="0" applyNumberFormat="1" applyFont="1" applyBorder="1" applyAlignment="1" applyProtection="1">
      <alignment horizontal="left" indent="1"/>
      <protection locked="0"/>
    </xf>
    <xf numFmtId="38" fontId="17" fillId="0" borderId="0" xfId="0" applyNumberFormat="1" applyFont="1" applyAlignment="1" applyProtection="1">
      <alignment horizontal="left" indent="2"/>
      <protection locked="0"/>
    </xf>
    <xf numFmtId="38" fontId="8" fillId="0" borderId="0" xfId="0" applyNumberFormat="1" applyFont="1" applyAlignment="1" applyProtection="1">
      <alignment horizontal="left" indent="3"/>
      <protection locked="0"/>
    </xf>
    <xf numFmtId="38" fontId="8" fillId="0" borderId="0" xfId="0" applyNumberFormat="1" applyFont="1" applyAlignment="1" applyProtection="1">
      <alignment horizontal="left" indent="1"/>
      <protection locked="0"/>
    </xf>
    <xf numFmtId="0" fontId="17" fillId="0" borderId="0" xfId="0" applyFont="1"/>
    <xf numFmtId="10" fontId="17" fillId="0" borderId="0" xfId="8" applyNumberFormat="1" applyFont="1"/>
    <xf numFmtId="0" fontId="15" fillId="0" borderId="0" xfId="0" applyFont="1"/>
    <xf numFmtId="38" fontId="8" fillId="0" borderId="0" xfId="0" applyNumberFormat="1" applyFont="1" applyAlignment="1" applyProtection="1">
      <alignment horizontal="center"/>
      <protection locked="0"/>
    </xf>
    <xf numFmtId="0" fontId="15" fillId="0" borderId="3" xfId="0" applyFont="1" applyBorder="1"/>
    <xf numFmtId="0" fontId="19" fillId="0" borderId="0" xfId="0" applyFont="1"/>
    <xf numFmtId="181" fontId="8" fillId="0" borderId="0" xfId="0" applyNumberFormat="1" applyFont="1" applyAlignment="1" applyProtection="1">
      <alignment horizontal="center"/>
      <protection locked="0"/>
    </xf>
    <xf numFmtId="0" fontId="20" fillId="0" borderId="0" xfId="0" applyFont="1"/>
    <xf numFmtId="181" fontId="8" fillId="0" borderId="6" xfId="0" applyNumberFormat="1" applyFont="1" applyBorder="1" applyAlignment="1" applyProtection="1">
      <alignment horizontal="center"/>
      <protection locked="0"/>
    </xf>
    <xf numFmtId="38" fontId="17" fillId="0" borderId="2" xfId="0" applyNumberFormat="1" applyFont="1" applyBorder="1" applyProtection="1">
      <protection locked="0"/>
    </xf>
    <xf numFmtId="38" fontId="21" fillId="0" borderId="3" xfId="0" applyNumberFormat="1" applyFont="1" applyBorder="1" applyProtection="1">
      <protection locked="0"/>
    </xf>
    <xf numFmtId="38" fontId="8" fillId="0" borderId="0" xfId="0" applyNumberFormat="1" applyFont="1"/>
    <xf numFmtId="38" fontId="8" fillId="0" borderId="4" xfId="0" applyNumberFormat="1" applyFont="1" applyBorder="1" applyProtection="1">
      <protection locked="0"/>
    </xf>
    <xf numFmtId="181" fontId="8" fillId="0" borderId="2" xfId="0" applyNumberFormat="1" applyFont="1" applyBorder="1" applyAlignment="1" applyProtection="1">
      <alignment horizontal="center"/>
      <protection locked="0"/>
    </xf>
    <xf numFmtId="38" fontId="21" fillId="0" borderId="2" xfId="0" applyNumberFormat="1" applyFont="1" applyBorder="1" applyProtection="1">
      <protection locked="0"/>
    </xf>
    <xf numFmtId="38" fontId="8" fillId="0" borderId="5" xfId="0" applyNumberFormat="1" applyFont="1" applyBorder="1" applyProtection="1">
      <protection locked="0"/>
    </xf>
    <xf numFmtId="38" fontId="2" fillId="0" borderId="0" xfId="0" applyNumberFormat="1" applyFont="1" applyProtection="1">
      <protection locked="0"/>
    </xf>
    <xf numFmtId="0" fontId="22" fillId="0" borderId="3" xfId="0" applyFont="1" applyBorder="1"/>
    <xf numFmtId="38" fontId="8" fillId="0" borderId="2" xfId="0" applyNumberFormat="1" applyFont="1" applyBorder="1" applyAlignment="1" applyProtection="1">
      <alignment horizontal="left" vertical="center"/>
      <protection locked="0"/>
    </xf>
    <xf numFmtId="38" fontId="8" fillId="0" borderId="5" xfId="0" applyNumberFormat="1" applyFont="1" applyBorder="1" applyAlignment="1" applyProtection="1">
      <alignment horizontal="left" vertical="center"/>
      <protection locked="0"/>
    </xf>
    <xf numFmtId="0" fontId="17" fillId="0" borderId="5" xfId="0" applyFont="1" applyBorder="1" applyAlignment="1">
      <alignment vertical="center"/>
    </xf>
    <xf numFmtId="38" fontId="17" fillId="0" borderId="0" xfId="0" applyNumberFormat="1" applyFont="1" applyAlignment="1" applyProtection="1">
      <alignment horizontal="left" vertical="center"/>
      <protection locked="0"/>
    </xf>
    <xf numFmtId="38" fontId="17" fillId="0" borderId="0" xfId="0" applyNumberFormat="1" applyFont="1" applyAlignment="1" applyProtection="1">
      <alignment vertical="center"/>
      <protection locked="0"/>
    </xf>
    <xf numFmtId="38" fontId="8" fillId="0" borderId="0" xfId="0" applyNumberFormat="1" applyFont="1" applyAlignment="1" applyProtection="1">
      <alignment horizontal="left" vertical="center"/>
      <protection locked="0"/>
    </xf>
    <xf numFmtId="38" fontId="8" fillId="0" borderId="4" xfId="0" applyNumberFormat="1" applyFont="1" applyBorder="1" applyAlignment="1">
      <alignment horizontal="left" vertical="center"/>
    </xf>
    <xf numFmtId="38" fontId="8" fillId="0" borderId="5" xfId="0" applyNumberFormat="1" applyFont="1" applyBorder="1" applyAlignment="1">
      <alignment horizontal="left" vertical="center"/>
    </xf>
    <xf numFmtId="38" fontId="18" fillId="0" borderId="4" xfId="0" applyNumberFormat="1" applyFont="1" applyBorder="1" applyAlignment="1" applyProtection="1">
      <alignment horizontal="left" vertical="center"/>
      <protection locked="0"/>
    </xf>
    <xf numFmtId="38" fontId="21" fillId="0" borderId="5" xfId="0" applyNumberFormat="1" applyFont="1" applyBorder="1" applyProtection="1">
      <protection locked="0"/>
    </xf>
    <xf numFmtId="38" fontId="17" fillId="0" borderId="7" xfId="0" applyNumberFormat="1" applyFont="1" applyBorder="1" applyAlignment="1" applyProtection="1">
      <alignment horizontal="fill"/>
      <protection locked="0"/>
    </xf>
    <xf numFmtId="0" fontId="0" fillId="0" borderId="5" xfId="0" applyBorder="1"/>
    <xf numFmtId="38" fontId="17" fillId="0" borderId="6" xfId="0" applyNumberFormat="1" applyFont="1" applyBorder="1" applyProtection="1">
      <protection locked="0"/>
    </xf>
    <xf numFmtId="0" fontId="17" fillId="0" borderId="0" xfId="0" applyFont="1" applyAlignment="1">
      <alignment vertical="center"/>
    </xf>
    <xf numFmtId="38" fontId="8" fillId="0" borderId="0" xfId="0" applyNumberFormat="1" applyFont="1" applyAlignment="1">
      <alignment horizontal="left" vertical="center"/>
    </xf>
    <xf numFmtId="38" fontId="3" fillId="2" borderId="0" xfId="0" applyNumberFormat="1" applyFont="1" applyFill="1" applyProtection="1">
      <protection locked="0"/>
    </xf>
    <xf numFmtId="0" fontId="11" fillId="0" borderId="0" xfId="0" applyFont="1" applyAlignment="1">
      <alignment horizontal="left" vertical="center" wrapText="1" indent="1"/>
    </xf>
    <xf numFmtId="0" fontId="11" fillId="0" borderId="0" xfId="0" applyFont="1" applyAlignment="1">
      <alignment horizontal="left" vertical="center" wrapText="1" indent="3"/>
    </xf>
    <xf numFmtId="0" fontId="12" fillId="0" borderId="0" xfId="0" applyFont="1" applyAlignment="1">
      <alignment horizontal="left" vertical="center" wrapText="1" indent="2"/>
    </xf>
    <xf numFmtId="0" fontId="11" fillId="0" borderId="0" xfId="0" applyFont="1" applyAlignment="1">
      <alignment horizontal="left" vertical="center" wrapText="1" indent="2"/>
    </xf>
    <xf numFmtId="0" fontId="17" fillId="0" borderId="0" xfId="0" applyFont="1" applyAlignment="1">
      <alignment horizontal="left" indent="2"/>
    </xf>
    <xf numFmtId="38" fontId="17" fillId="0" borderId="0" xfId="0" applyNumberFormat="1" applyFont="1" applyAlignment="1">
      <alignment horizontal="left" indent="1"/>
    </xf>
    <xf numFmtId="38" fontId="17" fillId="0" borderId="0" xfId="0" quotePrefix="1" applyNumberFormat="1" applyFont="1" applyProtection="1">
      <protection locked="0"/>
    </xf>
    <xf numFmtId="38" fontId="7" fillId="0" borderId="0" xfId="0" applyNumberFormat="1" applyFont="1" applyAlignment="1" applyProtection="1">
      <alignment horizontal="center"/>
      <protection locked="0"/>
    </xf>
    <xf numFmtId="0" fontId="23" fillId="0" borderId="0" xfId="6"/>
    <xf numFmtId="0" fontId="24" fillId="0" borderId="8" xfId="6" applyFont="1" applyBorder="1" applyAlignment="1">
      <alignment horizontal="center"/>
    </xf>
    <xf numFmtId="0" fontId="23" fillId="0" borderId="0" xfId="6" applyAlignment="1">
      <alignment wrapText="1"/>
    </xf>
    <xf numFmtId="9" fontId="23" fillId="0" borderId="0" xfId="6" applyNumberFormat="1"/>
    <xf numFmtId="0" fontId="23" fillId="0" borderId="0" xfId="6" applyAlignment="1">
      <alignment horizontal="left" wrapText="1" indent="4"/>
    </xf>
    <xf numFmtId="173" fontId="23" fillId="0" borderId="0" xfId="10" applyNumberFormat="1"/>
    <xf numFmtId="9" fontId="23" fillId="0" borderId="0" xfId="8" applyFont="1"/>
    <xf numFmtId="0" fontId="23" fillId="0" borderId="0" xfId="6" applyAlignment="1">
      <alignment horizontal="left" wrapText="1" indent="3"/>
    </xf>
    <xf numFmtId="181" fontId="8" fillId="0" borderId="9" xfId="0" applyNumberFormat="1" applyFont="1" applyBorder="1" applyAlignment="1" applyProtection="1">
      <alignment horizontal="center"/>
      <protection locked="0"/>
    </xf>
    <xf numFmtId="3" fontId="17" fillId="0" borderId="0" xfId="0" applyNumberFormat="1" applyFont="1" applyAlignment="1">
      <alignment vertical="center"/>
    </xf>
    <xf numFmtId="0" fontId="25" fillId="0" borderId="0" xfId="6" applyFont="1" applyAlignment="1">
      <alignment wrapText="1"/>
    </xf>
    <xf numFmtId="38" fontId="21" fillId="0" borderId="0" xfId="0" applyNumberFormat="1" applyFont="1" applyProtection="1">
      <protection locked="0"/>
    </xf>
    <xf numFmtId="0" fontId="1" fillId="0" borderId="0" xfId="7"/>
    <xf numFmtId="0" fontId="26" fillId="0" borderId="0" xfId="7" applyFont="1"/>
    <xf numFmtId="0" fontId="8" fillId="0" borderId="0" xfId="7" applyFont="1" applyAlignment="1">
      <alignment horizontal="left" indent="1"/>
    </xf>
    <xf numFmtId="0" fontId="1" fillId="0" borderId="0" xfId="7" applyAlignment="1">
      <alignment horizontal="left" indent="2"/>
    </xf>
    <xf numFmtId="1" fontId="1" fillId="0" borderId="0" xfId="7" applyNumberFormat="1"/>
    <xf numFmtId="1" fontId="1" fillId="0" borderId="10" xfId="7" applyNumberFormat="1" applyBorder="1"/>
    <xf numFmtId="3" fontId="1" fillId="0" borderId="0" xfId="7" applyNumberFormat="1"/>
    <xf numFmtId="3" fontId="1" fillId="0" borderId="10" xfId="7" applyNumberFormat="1" applyBorder="1"/>
    <xf numFmtId="0" fontId="8" fillId="0" borderId="0" xfId="7" applyFont="1" applyAlignment="1">
      <alignment horizontal="left" indent="2"/>
    </xf>
    <xf numFmtId="3" fontId="8" fillId="0" borderId="0" xfId="7" applyNumberFormat="1" applyFont="1"/>
    <xf numFmtId="38" fontId="17" fillId="0" borderId="0" xfId="9" applyNumberFormat="1" applyFont="1" applyFill="1" applyBorder="1" applyAlignment="1" applyProtection="1">
      <alignment vertical="center"/>
      <protection locked="0"/>
    </xf>
    <xf numFmtId="38" fontId="8" fillId="0" borderId="3" xfId="0" applyNumberFormat="1" applyFont="1" applyBorder="1" applyAlignment="1">
      <alignment horizontal="left" indent="1"/>
    </xf>
    <xf numFmtId="38" fontId="8" fillId="0" borderId="0" xfId="0" applyNumberFormat="1" applyFont="1" applyAlignment="1" applyProtection="1">
      <alignment horizontal="left" vertical="center" indent="3"/>
      <protection locked="0"/>
    </xf>
    <xf numFmtId="0" fontId="23" fillId="0" borderId="0" xfId="6" applyAlignment="1">
      <alignment horizontal="left" wrapText="1" indent="1"/>
    </xf>
    <xf numFmtId="38" fontId="17" fillId="0" borderId="0" xfId="0" applyNumberFormat="1" applyFont="1" applyAlignment="1" applyProtection="1">
      <alignment horizontal="left" vertical="center" indent="3"/>
      <protection locked="0"/>
    </xf>
    <xf numFmtId="0" fontId="0" fillId="0" borderId="11" xfId="0" applyBorder="1"/>
    <xf numFmtId="38" fontId="0" fillId="0" borderId="11" xfId="9" applyNumberFormat="1" applyFont="1" applyFill="1" applyBorder="1"/>
    <xf numFmtId="0" fontId="5" fillId="0" borderId="0" xfId="6" applyFont="1" applyAlignment="1">
      <alignment horizontal="left" wrapText="1" indent="2"/>
    </xf>
    <xf numFmtId="38" fontId="0" fillId="0" borderId="0" xfId="0" applyNumberFormat="1"/>
    <xf numFmtId="38" fontId="4" fillId="0" borderId="0" xfId="0" applyNumberFormat="1" applyFont="1"/>
    <xf numFmtId="38" fontId="0" fillId="0" borderId="10" xfId="0" applyNumberFormat="1" applyBorder="1"/>
    <xf numFmtId="0" fontId="8" fillId="0" borderId="0" xfId="0" applyFont="1"/>
    <xf numFmtId="181" fontId="8" fillId="0" borderId="5" xfId="0" applyNumberFormat="1" applyFont="1" applyBorder="1" applyAlignment="1" applyProtection="1">
      <alignment horizontal="center"/>
      <protection locked="0"/>
    </xf>
    <xf numFmtId="3" fontId="17" fillId="0" borderId="0" xfId="0" applyNumberFormat="1" applyFont="1" applyAlignment="1" applyProtection="1">
      <alignment horizontal="left" vertical="center" indent="1"/>
      <protection locked="0"/>
    </xf>
    <xf numFmtId="38" fontId="17" fillId="0" borderId="0" xfId="0" applyNumberFormat="1" applyFont="1" applyAlignment="1" applyProtection="1">
      <alignment horizontal="left" vertical="center" indent="1"/>
      <protection locked="0"/>
    </xf>
    <xf numFmtId="3" fontId="0" fillId="0" borderId="0" xfId="0" applyNumberFormat="1"/>
    <xf numFmtId="0" fontId="0" fillId="0" borderId="0" xfId="0" applyAlignment="1">
      <alignment horizontal="left" indent="1"/>
    </xf>
    <xf numFmtId="3" fontId="0" fillId="0" borderId="13" xfId="0" applyNumberFormat="1" applyBorder="1"/>
    <xf numFmtId="173" fontId="30" fillId="0" borderId="0" xfId="9" applyNumberFormat="1" applyFont="1"/>
    <xf numFmtId="173" fontId="30" fillId="0" borderId="0" xfId="9" applyNumberFormat="1" applyFont="1" applyBorder="1"/>
    <xf numFmtId="173" fontId="0" fillId="0" borderId="0" xfId="0" applyNumberFormat="1"/>
    <xf numFmtId="173" fontId="30" fillId="0" borderId="13" xfId="9" applyNumberFormat="1" applyFont="1" applyBorder="1"/>
    <xf numFmtId="0" fontId="5" fillId="0" borderId="0" xfId="6" applyFont="1" applyAlignment="1">
      <alignment horizontal="left" indent="2"/>
    </xf>
    <xf numFmtId="10" fontId="23" fillId="0" borderId="0" xfId="8" applyNumberFormat="1" applyFont="1"/>
    <xf numFmtId="10" fontId="23" fillId="0" borderId="0" xfId="6" applyNumberFormat="1"/>
    <xf numFmtId="10" fontId="17" fillId="0" borderId="0" xfId="0" applyNumberFormat="1" applyFont="1" applyAlignment="1">
      <alignment vertical="center"/>
    </xf>
    <xf numFmtId="10" fontId="17" fillId="0" borderId="0" xfId="8" applyNumberFormat="1" applyFont="1" applyFill="1" applyBorder="1" applyAlignment="1" applyProtection="1">
      <alignment vertical="center"/>
      <protection locked="0"/>
    </xf>
    <xf numFmtId="0" fontId="29" fillId="0" borderId="0" xfId="0" applyFont="1"/>
    <xf numFmtId="10" fontId="0" fillId="0" borderId="0" xfId="0" applyNumberFormat="1"/>
    <xf numFmtId="0" fontId="30" fillId="0" borderId="0" xfId="0" applyFont="1" applyAlignment="1">
      <alignment horizontal="left" indent="2"/>
    </xf>
    <xf numFmtId="0" fontId="30" fillId="0" borderId="0" xfId="0" applyFont="1"/>
    <xf numFmtId="0" fontId="30" fillId="0" borderId="0" xfId="0" applyFont="1" applyAlignment="1">
      <alignment horizontal="center"/>
    </xf>
    <xf numFmtId="0" fontId="4" fillId="0" borderId="0" xfId="6" applyFont="1" applyAlignment="1">
      <alignment horizontal="left" indent="2"/>
    </xf>
    <xf numFmtId="0" fontId="8" fillId="0" borderId="0" xfId="0" applyFont="1" applyAlignment="1">
      <alignment horizontal="left" indent="2"/>
    </xf>
    <xf numFmtId="173" fontId="37" fillId="0" borderId="16" xfId="9" applyNumberFormat="1" applyFont="1" applyBorder="1"/>
    <xf numFmtId="10" fontId="30" fillId="0" borderId="0" xfId="8" applyNumberFormat="1" applyFont="1" applyBorder="1"/>
    <xf numFmtId="183" fontId="0" fillId="0" borderId="0" xfId="0" applyNumberFormat="1"/>
    <xf numFmtId="10" fontId="4" fillId="0" borderId="0" xfId="8" applyNumberFormat="1" applyFont="1"/>
    <xf numFmtId="170" fontId="4" fillId="0" borderId="0" xfId="0" applyNumberFormat="1" applyFont="1"/>
    <xf numFmtId="172" fontId="0" fillId="0" borderId="0" xfId="9" applyNumberFormat="1" applyFont="1"/>
    <xf numFmtId="180" fontId="0" fillId="0" borderId="0" xfId="0" applyNumberFormat="1"/>
    <xf numFmtId="0" fontId="17" fillId="0" borderId="0" xfId="0" applyFont="1" applyAlignment="1">
      <alignment horizontal="left"/>
    </xf>
    <xf numFmtId="0" fontId="17" fillId="0" borderId="0" xfId="0" applyFont="1" applyAlignment="1">
      <alignment horizontal="right"/>
    </xf>
    <xf numFmtId="0" fontId="5" fillId="0" borderId="0" xfId="0" applyFont="1" applyAlignment="1">
      <alignment horizontal="right"/>
    </xf>
    <xf numFmtId="0" fontId="38" fillId="0" borderId="0" xfId="0" applyFont="1" applyAlignment="1">
      <alignment vertical="center"/>
    </xf>
    <xf numFmtId="0" fontId="39" fillId="0" borderId="0" xfId="0" applyFont="1" applyAlignment="1">
      <alignment vertical="center"/>
    </xf>
    <xf numFmtId="0" fontId="27" fillId="0" borderId="0" xfId="0" applyFont="1" applyAlignment="1">
      <alignment horizontal="left"/>
    </xf>
    <xf numFmtId="0" fontId="44" fillId="3" borderId="0" xfId="0" applyFont="1" applyFill="1" applyAlignment="1">
      <alignment horizontal="left" vertical="center" wrapText="1" indent="1"/>
    </xf>
    <xf numFmtId="0" fontId="40" fillId="0" borderId="0" xfId="0" applyFont="1" applyAlignment="1">
      <alignment horizontal="left"/>
    </xf>
    <xf numFmtId="0" fontId="40" fillId="0" borderId="0" xfId="0" applyFont="1" applyAlignment="1">
      <alignment horizontal="right"/>
    </xf>
    <xf numFmtId="0" fontId="8" fillId="0" borderId="2" xfId="0" applyFont="1" applyBorder="1" applyAlignment="1">
      <alignment vertical="center"/>
    </xf>
    <xf numFmtId="0" fontId="40" fillId="0" borderId="2" xfId="0" applyFont="1" applyBorder="1" applyAlignment="1">
      <alignment horizontal="right"/>
    </xf>
    <xf numFmtId="0" fontId="8" fillId="0" borderId="0" xfId="0" applyFont="1" applyAlignment="1">
      <alignment vertical="center"/>
    </xf>
    <xf numFmtId="0" fontId="17" fillId="4" borderId="0" xfId="0" applyFont="1" applyFill="1" applyAlignment="1">
      <alignment horizontal="left" vertical="center" indent="1"/>
    </xf>
    <xf numFmtId="168" fontId="17" fillId="4" borderId="17" xfId="0" applyNumberFormat="1" applyFont="1" applyFill="1" applyBorder="1" applyAlignment="1">
      <alignment vertical="center"/>
    </xf>
    <xf numFmtId="168" fontId="17" fillId="4" borderId="18" xfId="0" applyNumberFormat="1" applyFont="1" applyFill="1" applyBorder="1" applyAlignment="1">
      <alignment vertical="center"/>
    </xf>
    <xf numFmtId="0" fontId="8" fillId="0" borderId="0" xfId="0" applyFont="1" applyAlignment="1">
      <alignment vertical="center" textRotation="255"/>
    </xf>
    <xf numFmtId="168" fontId="17" fillId="4" borderId="19" xfId="0" applyNumberFormat="1" applyFont="1" applyFill="1" applyBorder="1" applyAlignment="1">
      <alignment vertical="center"/>
    </xf>
    <xf numFmtId="3" fontId="17" fillId="4" borderId="0" xfId="0" applyNumberFormat="1" applyFont="1" applyFill="1" applyAlignment="1">
      <alignment vertical="center"/>
    </xf>
    <xf numFmtId="168" fontId="17" fillId="4" borderId="0" xfId="0" applyNumberFormat="1" applyFont="1" applyFill="1" applyAlignment="1">
      <alignment vertical="center"/>
    </xf>
    <xf numFmtId="0" fontId="17" fillId="0" borderId="2" xfId="0" applyFont="1" applyBorder="1" applyAlignment="1">
      <alignment horizontal="right" vertical="center"/>
    </xf>
    <xf numFmtId="0" fontId="17" fillId="0" borderId="0" xfId="0" applyFont="1" applyAlignment="1">
      <alignment horizontal="right" vertical="center"/>
    </xf>
    <xf numFmtId="0" fontId="17" fillId="5" borderId="0" xfId="0" applyFont="1" applyFill="1" applyAlignment="1">
      <alignment horizontal="left" vertical="center" indent="1"/>
    </xf>
    <xf numFmtId="168" fontId="17" fillId="5" borderId="20" xfId="0" applyNumberFormat="1" applyFont="1" applyFill="1" applyBorder="1" applyAlignment="1">
      <alignment horizontal="right" vertical="center"/>
    </xf>
    <xf numFmtId="168" fontId="17" fillId="5" borderId="0" xfId="0" applyNumberFormat="1" applyFont="1" applyFill="1" applyAlignment="1">
      <alignment horizontal="right" vertical="center"/>
    </xf>
    <xf numFmtId="178" fontId="17" fillId="5" borderId="0" xfId="0" applyNumberFormat="1" applyFont="1" applyFill="1" applyAlignment="1">
      <alignment horizontal="right" vertical="center"/>
    </xf>
    <xf numFmtId="0" fontId="17" fillId="0" borderId="0" xfId="0" applyFont="1" applyAlignment="1">
      <alignment horizontal="left" vertical="center" indent="1"/>
    </xf>
    <xf numFmtId="178" fontId="17" fillId="0" borderId="0" xfId="0" applyNumberFormat="1" applyFont="1" applyAlignment="1">
      <alignment horizontal="right" vertical="center"/>
    </xf>
    <xf numFmtId="4" fontId="17" fillId="0" borderId="2" xfId="0" applyNumberFormat="1" applyFont="1" applyBorder="1" applyAlignment="1">
      <alignment horizontal="right" vertical="center"/>
    </xf>
    <xf numFmtId="4" fontId="17" fillId="0" borderId="0" xfId="0" applyNumberFormat="1" applyFont="1" applyAlignment="1">
      <alignment horizontal="right" vertical="center"/>
    </xf>
    <xf numFmtId="0" fontId="17" fillId="3" borderId="0" xfId="0" applyFont="1" applyFill="1" applyAlignment="1">
      <alignment horizontal="left" vertical="center" wrapText="1" indent="1"/>
    </xf>
    <xf numFmtId="0" fontId="42" fillId="3" borderId="0" xfId="0" applyFont="1" applyFill="1" applyAlignment="1">
      <alignment horizontal="left" vertical="center" indent="1"/>
    </xf>
    <xf numFmtId="2" fontId="42" fillId="3" borderId="0" xfId="0" applyNumberFormat="1" applyFont="1" applyFill="1" applyAlignment="1">
      <alignment vertical="center"/>
    </xf>
    <xf numFmtId="2" fontId="17" fillId="3" borderId="21" xfId="0" applyNumberFormat="1" applyFont="1" applyFill="1" applyBorder="1" applyAlignment="1">
      <alignment vertical="center" wrapText="1"/>
    </xf>
    <xf numFmtId="4" fontId="42" fillId="3" borderId="0" xfId="0" applyNumberFormat="1" applyFont="1" applyFill="1" applyAlignment="1">
      <alignment vertical="center"/>
    </xf>
    <xf numFmtId="0" fontId="17" fillId="6" borderId="0" xfId="0" applyFont="1" applyFill="1" applyAlignment="1">
      <alignment horizontal="left" vertical="center" indent="1"/>
    </xf>
    <xf numFmtId="3" fontId="17" fillId="3" borderId="21" xfId="0" applyNumberFormat="1" applyFont="1" applyFill="1" applyBorder="1" applyAlignment="1">
      <alignment vertical="center" wrapText="1"/>
    </xf>
    <xf numFmtId="0" fontId="8" fillId="0" borderId="0" xfId="0" applyFont="1" applyAlignment="1">
      <alignment vertical="center" textRotation="255" wrapText="1"/>
    </xf>
    <xf numFmtId="3" fontId="17" fillId="6" borderId="0" xfId="0" applyNumberFormat="1" applyFont="1" applyFill="1" applyAlignment="1">
      <alignment horizontal="right" vertical="center"/>
    </xf>
    <xf numFmtId="0" fontId="8" fillId="6" borderId="0" xfId="0" applyFont="1" applyFill="1" applyAlignment="1">
      <alignment horizontal="left" vertical="center" indent="1"/>
    </xf>
    <xf numFmtId="3" fontId="8" fillId="3" borderId="21" xfId="0" applyNumberFormat="1" applyFont="1" applyFill="1" applyBorder="1" applyAlignment="1">
      <alignment vertical="center" wrapText="1"/>
    </xf>
    <xf numFmtId="38" fontId="8" fillId="6" borderId="0" xfId="0" applyNumberFormat="1" applyFont="1" applyFill="1" applyAlignment="1">
      <alignment horizontal="right" vertical="center"/>
    </xf>
    <xf numFmtId="0" fontId="5" fillId="0" borderId="0" xfId="0" applyFont="1"/>
    <xf numFmtId="178" fontId="17" fillId="3" borderId="0" xfId="0" applyNumberFormat="1" applyFont="1" applyFill="1" applyAlignment="1">
      <alignment vertical="center" wrapText="1"/>
    </xf>
    <xf numFmtId="181" fontId="8" fillId="6" borderId="6" xfId="0" applyNumberFormat="1" applyFont="1" applyFill="1" applyBorder="1" applyAlignment="1" applyProtection="1">
      <alignment horizontal="center"/>
      <protection locked="0"/>
    </xf>
    <xf numFmtId="38" fontId="17" fillId="6" borderId="0" xfId="0" applyNumberFormat="1" applyFont="1" applyFill="1" applyProtection="1">
      <protection locked="0"/>
    </xf>
    <xf numFmtId="38" fontId="21" fillId="6" borderId="5" xfId="0" applyNumberFormat="1" applyFont="1" applyFill="1" applyBorder="1" applyProtection="1">
      <protection locked="0"/>
    </xf>
    <xf numFmtId="38" fontId="8" fillId="6" borderId="0" xfId="0" applyNumberFormat="1" applyFont="1" applyFill="1" applyProtection="1">
      <protection locked="0"/>
    </xf>
    <xf numFmtId="38" fontId="8" fillId="6" borderId="0" xfId="0" applyNumberFormat="1" applyFont="1" applyFill="1"/>
    <xf numFmtId="38" fontId="17" fillId="6" borderId="6" xfId="0" applyNumberFormat="1" applyFont="1" applyFill="1" applyBorder="1" applyProtection="1">
      <protection locked="0"/>
    </xf>
    <xf numFmtId="38" fontId="21" fillId="6" borderId="3" xfId="0" applyNumberFormat="1" applyFont="1" applyFill="1" applyBorder="1" applyProtection="1">
      <protection locked="0"/>
    </xf>
    <xf numFmtId="38" fontId="8" fillId="6" borderId="4" xfId="0" applyNumberFormat="1" applyFont="1" applyFill="1" applyBorder="1" applyProtection="1">
      <protection locked="0"/>
    </xf>
    <xf numFmtId="181" fontId="8" fillId="6" borderId="0" xfId="0" applyNumberFormat="1" applyFont="1" applyFill="1" applyAlignment="1" applyProtection="1">
      <alignment horizontal="center"/>
      <protection locked="0"/>
    </xf>
    <xf numFmtId="38" fontId="17" fillId="6" borderId="7" xfId="0" applyNumberFormat="1" applyFont="1" applyFill="1" applyBorder="1" applyAlignment="1" applyProtection="1">
      <alignment horizontal="fill"/>
      <protection locked="0"/>
    </xf>
    <xf numFmtId="38" fontId="21" fillId="6" borderId="0" xfId="0" applyNumberFormat="1" applyFont="1" applyFill="1" applyProtection="1">
      <protection locked="0"/>
    </xf>
    <xf numFmtId="38" fontId="8" fillId="6" borderId="3" xfId="0" applyNumberFormat="1" applyFont="1" applyFill="1" applyBorder="1" applyProtection="1">
      <protection locked="0"/>
    </xf>
    <xf numFmtId="38" fontId="8" fillId="6" borderId="5" xfId="0" applyNumberFormat="1" applyFont="1" applyFill="1" applyBorder="1" applyProtection="1">
      <protection locked="0"/>
    </xf>
    <xf numFmtId="3" fontId="17" fillId="3" borderId="21" xfId="0" applyNumberFormat="1" applyFont="1" applyFill="1" applyBorder="1" applyAlignment="1">
      <alignment vertical="center"/>
    </xf>
    <xf numFmtId="1" fontId="41" fillId="3" borderId="0" xfId="0" applyNumberFormat="1" applyFont="1" applyFill="1" applyAlignment="1">
      <alignment vertical="center" wrapText="1"/>
    </xf>
    <xf numFmtId="1" fontId="17" fillId="3" borderId="0" xfId="0" applyNumberFormat="1" applyFont="1" applyFill="1" applyAlignment="1">
      <alignment vertical="center" wrapText="1"/>
    </xf>
    <xf numFmtId="0" fontId="17" fillId="3" borderId="0" xfId="0" applyFont="1" applyFill="1" applyAlignment="1">
      <alignment horizontal="left" vertical="center" wrapText="1" indent="2"/>
    </xf>
    <xf numFmtId="0" fontId="41" fillId="3" borderId="0" xfId="0" applyFont="1" applyFill="1" applyAlignment="1">
      <alignment horizontal="left" vertical="center" wrapText="1" indent="2"/>
    </xf>
    <xf numFmtId="0" fontId="8" fillId="3" borderId="0" xfId="0" applyFont="1" applyFill="1" applyAlignment="1">
      <alignment horizontal="left" vertical="center" wrapText="1" indent="1"/>
    </xf>
    <xf numFmtId="0" fontId="42" fillId="3" borderId="0" xfId="0" applyFont="1" applyFill="1" applyAlignment="1">
      <alignment horizontal="left" vertical="center" wrapText="1" indent="2"/>
    </xf>
    <xf numFmtId="1" fontId="44" fillId="3" borderId="0" xfId="0" applyNumberFormat="1" applyFont="1" applyFill="1" applyAlignment="1">
      <alignment vertical="center" wrapText="1"/>
    </xf>
    <xf numFmtId="1" fontId="17" fillId="3" borderId="22" xfId="0" applyNumberFormat="1" applyFont="1" applyFill="1" applyBorder="1" applyAlignment="1">
      <alignment vertical="center" wrapText="1"/>
    </xf>
    <xf numFmtId="1" fontId="44" fillId="3" borderId="21" xfId="0" applyNumberFormat="1" applyFont="1" applyFill="1" applyBorder="1" applyAlignment="1">
      <alignment vertical="center" wrapText="1"/>
    </xf>
    <xf numFmtId="168" fontId="23" fillId="0" borderId="0" xfId="8" applyNumberFormat="1" applyFont="1"/>
    <xf numFmtId="168" fontId="0" fillId="0" borderId="0" xfId="8" applyNumberFormat="1" applyFont="1"/>
    <xf numFmtId="169" fontId="4" fillId="0" borderId="0" xfId="0" applyNumberFormat="1" applyFont="1"/>
    <xf numFmtId="175" fontId="17" fillId="0" borderId="0" xfId="0" applyNumberFormat="1" applyFont="1"/>
    <xf numFmtId="172" fontId="23" fillId="0" borderId="0" xfId="9" applyNumberFormat="1" applyFont="1"/>
    <xf numFmtId="184" fontId="0" fillId="0" borderId="0" xfId="0" applyNumberFormat="1"/>
    <xf numFmtId="168" fontId="17" fillId="0" borderId="0" xfId="8" applyNumberFormat="1" applyFont="1"/>
    <xf numFmtId="0" fontId="0" fillId="0" borderId="0" xfId="0" applyAlignment="1">
      <alignment vertical="center"/>
    </xf>
    <xf numFmtId="172" fontId="0" fillId="0" borderId="0" xfId="0" applyNumberFormat="1"/>
    <xf numFmtId="169" fontId="29" fillId="0" borderId="0" xfId="0" applyNumberFormat="1" applyFont="1"/>
    <xf numFmtId="10" fontId="3" fillId="0" borderId="0" xfId="8" applyNumberFormat="1" applyFont="1" applyFill="1" applyAlignment="1" applyProtection="1">
      <protection locked="0"/>
    </xf>
    <xf numFmtId="10" fontId="17" fillId="0" borderId="0" xfId="8" applyNumberFormat="1" applyFont="1" applyAlignment="1">
      <alignment horizontal="right"/>
    </xf>
    <xf numFmtId="182" fontId="0" fillId="0" borderId="0" xfId="9" applyNumberFormat="1" applyFont="1"/>
    <xf numFmtId="0" fontId="42" fillId="7" borderId="23" xfId="0" applyFont="1" applyFill="1" applyBorder="1"/>
    <xf numFmtId="182" fontId="42" fillId="7" borderId="0" xfId="9" applyNumberFormat="1" applyFont="1" applyFill="1" applyBorder="1" applyAlignment="1"/>
    <xf numFmtId="182" fontId="42" fillId="7" borderId="24" xfId="9" applyNumberFormat="1" applyFont="1" applyFill="1" applyBorder="1" applyAlignment="1"/>
    <xf numFmtId="3" fontId="0" fillId="0" borderId="0" xfId="9" applyNumberFormat="1" applyFont="1" applyFill="1" applyAlignment="1">
      <alignment vertical="center"/>
    </xf>
    <xf numFmtId="185" fontId="42" fillId="7" borderId="0" xfId="9" applyNumberFormat="1" applyFont="1" applyFill="1" applyBorder="1" applyAlignment="1"/>
    <xf numFmtId="185" fontId="42" fillId="7" borderId="24" xfId="9" applyNumberFormat="1" applyFont="1" applyFill="1" applyBorder="1" applyAlignment="1"/>
    <xf numFmtId="171" fontId="42" fillId="7" borderId="0" xfId="9" applyFont="1" applyFill="1" applyBorder="1" applyAlignment="1"/>
    <xf numFmtId="171" fontId="42" fillId="7" borderId="24" xfId="9" applyFont="1" applyFill="1" applyBorder="1" applyAlignment="1"/>
    <xf numFmtId="0" fontId="42" fillId="7" borderId="25" xfId="0" applyFont="1" applyFill="1" applyBorder="1"/>
    <xf numFmtId="171" fontId="42" fillId="7" borderId="26" xfId="9" applyFont="1" applyFill="1" applyBorder="1" applyAlignment="1"/>
    <xf numFmtId="171" fontId="42" fillId="7" borderId="27" xfId="9" applyFont="1" applyFill="1" applyBorder="1" applyAlignment="1"/>
    <xf numFmtId="0" fontId="42" fillId="8" borderId="23" xfId="0" applyFont="1" applyFill="1" applyBorder="1"/>
    <xf numFmtId="0" fontId="42" fillId="8" borderId="0" xfId="0" applyFont="1" applyFill="1"/>
    <xf numFmtId="0" fontId="42" fillId="8" borderId="24" xfId="0" applyFont="1" applyFill="1" applyBorder="1"/>
    <xf numFmtId="10" fontId="42" fillId="8" borderId="0" xfId="9" applyNumberFormat="1" applyFont="1" applyFill="1" applyBorder="1" applyAlignment="1"/>
    <xf numFmtId="10" fontId="42" fillId="8" borderId="24" xfId="9" applyNumberFormat="1" applyFont="1" applyFill="1" applyBorder="1" applyAlignment="1"/>
    <xf numFmtId="171" fontId="42" fillId="8" borderId="0" xfId="9" applyFont="1" applyFill="1" applyBorder="1" applyAlignment="1"/>
    <xf numFmtId="171" fontId="42" fillId="8" borderId="24" xfId="9" applyFont="1" applyFill="1" applyBorder="1" applyAlignment="1"/>
    <xf numFmtId="0" fontId="46" fillId="8" borderId="28" xfId="0" applyFont="1" applyFill="1" applyBorder="1" applyAlignment="1">
      <alignment horizontal="center"/>
    </xf>
    <xf numFmtId="0" fontId="46" fillId="8" borderId="29" xfId="0" applyFont="1" applyFill="1" applyBorder="1" applyAlignment="1">
      <alignment horizontal="center"/>
    </xf>
    <xf numFmtId="0" fontId="46" fillId="8" borderId="30" xfId="0" applyFont="1" applyFill="1" applyBorder="1" applyAlignment="1">
      <alignment horizontal="center"/>
    </xf>
    <xf numFmtId="0" fontId="26" fillId="0" borderId="0" xfId="0" applyFont="1"/>
    <xf numFmtId="0" fontId="0" fillId="0" borderId="0" xfId="0" applyAlignment="1">
      <alignment horizontal="left" vertical="justify" wrapText="1" indent="2"/>
    </xf>
    <xf numFmtId="0" fontId="26" fillId="0" borderId="0" xfId="0" applyFont="1" applyAlignment="1">
      <alignment horizontal="left" indent="1"/>
    </xf>
    <xf numFmtId="0" fontId="0" fillId="0" borderId="0" xfId="0" applyAlignment="1">
      <alignment horizontal="left" vertical="top" wrapText="1" indent="3"/>
    </xf>
    <xf numFmtId="168" fontId="17" fillId="4" borderId="17" xfId="8" applyNumberFormat="1" applyFont="1" applyFill="1" applyBorder="1" applyAlignment="1">
      <alignment vertical="center"/>
    </xf>
    <xf numFmtId="178" fontId="17" fillId="3" borderId="31" xfId="0" applyNumberFormat="1" applyFont="1" applyFill="1" applyBorder="1" applyAlignment="1">
      <alignment vertical="center" wrapText="1"/>
    </xf>
    <xf numFmtId="10" fontId="0" fillId="0" borderId="0" xfId="8" applyNumberFormat="1" applyFont="1" applyFill="1" applyAlignment="1">
      <alignment vertical="center"/>
    </xf>
    <xf numFmtId="10" fontId="0" fillId="0" borderId="0" xfId="0" applyNumberFormat="1" applyAlignment="1">
      <alignment vertical="center"/>
    </xf>
    <xf numFmtId="170" fontId="4" fillId="0" borderId="0" xfId="0" applyNumberFormat="1" applyFont="1" applyAlignment="1">
      <alignment vertical="center"/>
    </xf>
    <xf numFmtId="183" fontId="0" fillId="0" borderId="0" xfId="0" applyNumberFormat="1" applyAlignment="1">
      <alignment vertical="center"/>
    </xf>
    <xf numFmtId="168" fontId="0" fillId="0" borderId="0" xfId="8" applyNumberFormat="1" applyFont="1" applyFill="1" applyAlignment="1">
      <alignment vertical="center"/>
    </xf>
    <xf numFmtId="2" fontId="0" fillId="0" borderId="0" xfId="0" applyNumberFormat="1" applyAlignment="1">
      <alignment vertical="center"/>
    </xf>
    <xf numFmtId="0" fontId="16" fillId="0" borderId="3" xfId="0" applyFont="1" applyBorder="1"/>
    <xf numFmtId="0" fontId="15" fillId="0" borderId="6" xfId="0" applyFont="1" applyBorder="1"/>
    <xf numFmtId="0" fontId="3" fillId="0" borderId="0" xfId="0" applyFont="1" applyProtection="1">
      <protection locked="0"/>
    </xf>
    <xf numFmtId="0" fontId="27" fillId="0" borderId="0" xfId="0" applyFont="1"/>
    <xf numFmtId="0" fontId="27" fillId="0" borderId="0" xfId="0" applyFont="1" applyAlignment="1">
      <alignment horizontal="left" vertical="center" wrapText="1" indent="1"/>
    </xf>
    <xf numFmtId="171" fontId="30" fillId="0" borderId="0" xfId="9" applyFont="1" applyBorder="1" applyAlignment="1"/>
    <xf numFmtId="9" fontId="4" fillId="0" borderId="0" xfId="6" applyNumberFormat="1" applyFont="1"/>
    <xf numFmtId="0" fontId="48" fillId="0" borderId="0" xfId="0" applyFont="1"/>
    <xf numFmtId="187" fontId="29" fillId="0" borderId="0" xfId="0" applyNumberFormat="1" applyFont="1"/>
    <xf numFmtId="172" fontId="8" fillId="0" borderId="0" xfId="0" applyNumberFormat="1" applyFont="1"/>
    <xf numFmtId="172" fontId="0" fillId="0" borderId="10" xfId="0" applyNumberFormat="1" applyBorder="1"/>
    <xf numFmtId="186" fontId="29" fillId="2" borderId="0" xfId="0" applyNumberFormat="1" applyFont="1" applyFill="1"/>
    <xf numFmtId="38" fontId="29" fillId="0" borderId="0" xfId="0" applyNumberFormat="1" applyFont="1"/>
    <xf numFmtId="0" fontId="50" fillId="0" borderId="0" xfId="0" applyFont="1"/>
    <xf numFmtId="38" fontId="17" fillId="0" borderId="0" xfId="0" applyNumberFormat="1" applyFont="1"/>
    <xf numFmtId="0" fontId="51" fillId="0" borderId="0" xfId="0" applyFont="1"/>
    <xf numFmtId="189" fontId="23" fillId="0" borderId="0" xfId="8" applyNumberFormat="1" applyFont="1"/>
    <xf numFmtId="190" fontId="8" fillId="0" borderId="0" xfId="0" applyNumberFormat="1" applyFont="1"/>
    <xf numFmtId="165" fontId="0" fillId="0" borderId="0" xfId="0" applyNumberFormat="1"/>
    <xf numFmtId="2" fontId="0" fillId="0" borderId="0" xfId="0" applyNumberFormat="1"/>
    <xf numFmtId="188" fontId="0" fillId="0" borderId="0" xfId="0" applyNumberFormat="1"/>
    <xf numFmtId="191" fontId="0" fillId="0" borderId="0" xfId="0" applyNumberFormat="1"/>
    <xf numFmtId="0" fontId="0" fillId="0" borderId="1" xfId="0" applyBorder="1"/>
    <xf numFmtId="168" fontId="0" fillId="0" borderId="0" xfId="0" applyNumberFormat="1"/>
    <xf numFmtId="192" fontId="0" fillId="0" borderId="0" xfId="0" applyNumberFormat="1"/>
    <xf numFmtId="10" fontId="0" fillId="0" borderId="1" xfId="0" applyNumberFormat="1" applyBorder="1"/>
    <xf numFmtId="0" fontId="8" fillId="0" borderId="0" xfId="0" applyFont="1" applyAlignment="1">
      <alignment horizontal="left" vertical="center" indent="2"/>
    </xf>
    <xf numFmtId="0" fontId="45" fillId="0" borderId="0" xfId="0" applyFont="1" applyAlignment="1">
      <alignment horizontal="left" vertical="center" indent="2"/>
    </xf>
    <xf numFmtId="0" fontId="0" fillId="0" borderId="0" xfId="0" applyAlignment="1">
      <alignment horizontal="left" vertical="center" indent="2"/>
    </xf>
    <xf numFmtId="0" fontId="8" fillId="0" borderId="0" xfId="0" applyFont="1" applyAlignment="1">
      <alignment horizontal="center"/>
    </xf>
    <xf numFmtId="10" fontId="1" fillId="0" borderId="0" xfId="8" applyNumberFormat="1" applyFill="1" applyBorder="1"/>
    <xf numFmtId="0" fontId="8" fillId="0" borderId="0" xfId="0" applyFont="1" applyAlignment="1">
      <alignment horizontal="left"/>
    </xf>
    <xf numFmtId="192" fontId="50" fillId="0" borderId="0" xfId="0" applyNumberFormat="1" applyFont="1"/>
    <xf numFmtId="0" fontId="52" fillId="9" borderId="0" xfId="0" applyFont="1" applyFill="1" applyAlignment="1">
      <alignment horizontal="center" vertical="center" wrapText="1"/>
    </xf>
    <xf numFmtId="0" fontId="56" fillId="10" borderId="0" xfId="0" applyFont="1" applyFill="1" applyAlignment="1">
      <alignment horizontal="center"/>
    </xf>
    <xf numFmtId="168" fontId="56" fillId="10" borderId="0" xfId="0" applyNumberFormat="1" applyFont="1" applyFill="1" applyAlignment="1">
      <alignment horizontal="center"/>
    </xf>
    <xf numFmtId="0" fontId="57" fillId="9" borderId="0" xfId="0" applyFont="1" applyFill="1" applyAlignment="1">
      <alignment horizontal="center" vertical="center" wrapText="1"/>
    </xf>
    <xf numFmtId="0" fontId="57" fillId="9" borderId="35" xfId="0" applyFont="1" applyFill="1" applyBorder="1" applyAlignment="1">
      <alignment horizontal="center" vertical="center" wrapText="1"/>
    </xf>
    <xf numFmtId="0" fontId="52" fillId="9" borderId="36" xfId="0" applyFont="1" applyFill="1" applyBorder="1" applyAlignment="1">
      <alignment horizontal="center" vertical="center" wrapText="1"/>
    </xf>
    <xf numFmtId="10" fontId="8" fillId="0" borderId="37" xfId="0" applyNumberFormat="1" applyFont="1" applyBorder="1"/>
    <xf numFmtId="165" fontId="8" fillId="0" borderId="38" xfId="0" applyNumberFormat="1" applyFont="1" applyBorder="1"/>
    <xf numFmtId="10" fontId="8" fillId="0" borderId="38" xfId="0" applyNumberFormat="1" applyFont="1" applyBorder="1"/>
    <xf numFmtId="3" fontId="8" fillId="0" borderId="38" xfId="0" applyNumberFormat="1" applyFont="1" applyBorder="1"/>
    <xf numFmtId="2" fontId="8" fillId="0" borderId="38" xfId="0" applyNumberFormat="1" applyFont="1" applyBorder="1"/>
    <xf numFmtId="165" fontId="8" fillId="0" borderId="39" xfId="0" applyNumberFormat="1" applyFont="1" applyBorder="1"/>
    <xf numFmtId="168" fontId="56" fillId="10" borderId="40" xfId="0" applyNumberFormat="1" applyFont="1" applyFill="1" applyBorder="1" applyAlignment="1">
      <alignment horizontal="center"/>
    </xf>
    <xf numFmtId="10" fontId="42" fillId="7" borderId="24" xfId="8" applyNumberFormat="1" applyFont="1" applyFill="1" applyBorder="1" applyAlignment="1"/>
    <xf numFmtId="10" fontId="42" fillId="7" borderId="27" xfId="8" applyNumberFormat="1" applyFont="1" applyFill="1" applyBorder="1" applyAlignment="1"/>
    <xf numFmtId="10" fontId="42" fillId="8" borderId="24" xfId="8" applyNumberFormat="1" applyFont="1" applyFill="1" applyBorder="1" applyAlignment="1"/>
    <xf numFmtId="173" fontId="42" fillId="8" borderId="24" xfId="8" applyNumberFormat="1" applyFont="1" applyFill="1" applyBorder="1" applyAlignment="1"/>
    <xf numFmtId="190" fontId="42" fillId="8" borderId="24" xfId="0" applyNumberFormat="1" applyFont="1" applyFill="1" applyBorder="1"/>
    <xf numFmtId="0" fontId="58" fillId="8" borderId="30" xfId="0" applyFont="1" applyFill="1" applyBorder="1" applyAlignment="1">
      <alignment horizontal="center" vertical="center" wrapText="1"/>
    </xf>
    <xf numFmtId="0" fontId="50" fillId="11" borderId="41" xfId="0" applyFont="1" applyFill="1" applyBorder="1"/>
    <xf numFmtId="10" fontId="50" fillId="11" borderId="42" xfId="8" applyNumberFormat="1" applyFont="1" applyFill="1" applyBorder="1" applyAlignment="1"/>
    <xf numFmtId="190" fontId="50" fillId="11" borderId="43" xfId="0" applyNumberFormat="1" applyFont="1" applyFill="1" applyBorder="1"/>
    <xf numFmtId="0" fontId="50" fillId="11" borderId="44" xfId="0" applyFont="1" applyFill="1" applyBorder="1"/>
    <xf numFmtId="10" fontId="50" fillId="11" borderId="45" xfId="8" applyNumberFormat="1" applyFont="1" applyFill="1" applyBorder="1" applyAlignment="1"/>
    <xf numFmtId="0" fontId="50" fillId="11" borderId="46" xfId="0" applyFont="1" applyFill="1" applyBorder="1"/>
    <xf numFmtId="0" fontId="59" fillId="12" borderId="47" xfId="0" applyFont="1" applyFill="1" applyBorder="1" applyAlignment="1">
      <alignment horizontal="center"/>
    </xf>
    <xf numFmtId="0" fontId="59" fillId="12" borderId="48" xfId="0" applyFont="1" applyFill="1" applyBorder="1" applyAlignment="1">
      <alignment horizontal="center" vertical="center" wrapText="1"/>
    </xf>
    <xf numFmtId="0" fontId="59" fillId="12" borderId="49" xfId="0" applyFont="1" applyFill="1" applyBorder="1" applyAlignment="1">
      <alignment horizontal="center" vertical="center" wrapText="1"/>
    </xf>
    <xf numFmtId="190" fontId="55" fillId="0" borderId="0" xfId="0" applyNumberFormat="1" applyFont="1"/>
    <xf numFmtId="0" fontId="61" fillId="0" borderId="50" xfId="0" applyFont="1" applyBorder="1" applyAlignment="1">
      <alignment horizontal="center" vertical="center" wrapText="1"/>
    </xf>
    <xf numFmtId="4" fontId="8" fillId="0" borderId="0" xfId="0" applyNumberFormat="1" applyFont="1"/>
    <xf numFmtId="4" fontId="8" fillId="0" borderId="1" xfId="0" applyNumberFormat="1" applyFont="1" applyBorder="1"/>
    <xf numFmtId="10" fontId="60" fillId="0" borderId="0" xfId="8" applyNumberFormat="1" applyFont="1" applyBorder="1"/>
    <xf numFmtId="10" fontId="17" fillId="0" borderId="0" xfId="8" applyNumberFormat="1" applyFont="1" applyBorder="1"/>
    <xf numFmtId="2" fontId="17" fillId="0" borderId="0" xfId="0" applyNumberFormat="1" applyFont="1"/>
    <xf numFmtId="0" fontId="0" fillId="0" borderId="1" xfId="0" applyBorder="1" applyAlignment="1">
      <alignment horizontal="left" indent="1"/>
    </xf>
    <xf numFmtId="10" fontId="60" fillId="0" borderId="1" xfId="8" applyNumberFormat="1" applyFont="1" applyBorder="1"/>
    <xf numFmtId="10" fontId="17" fillId="0" borderId="1" xfId="8" applyNumberFormat="1" applyFont="1" applyBorder="1"/>
    <xf numFmtId="2" fontId="17" fillId="0" borderId="1" xfId="0" applyNumberFormat="1" applyFont="1" applyBorder="1"/>
    <xf numFmtId="0" fontId="0" fillId="0" borderId="51" xfId="0" applyBorder="1" applyAlignment="1">
      <alignment horizontal="left" indent="1"/>
    </xf>
    <xf numFmtId="10" fontId="60" fillId="0" borderId="51" xfId="8" applyNumberFormat="1" applyFont="1" applyBorder="1"/>
    <xf numFmtId="10" fontId="17" fillId="0" borderId="51" xfId="8" applyNumberFormat="1" applyFont="1" applyBorder="1"/>
    <xf numFmtId="165" fontId="17" fillId="0" borderId="51" xfId="0" applyNumberFormat="1" applyFont="1" applyBorder="1"/>
    <xf numFmtId="10" fontId="50" fillId="0" borderId="0" xfId="0" applyNumberFormat="1" applyFont="1"/>
    <xf numFmtId="0" fontId="0" fillId="0" borderId="50" xfId="0" applyBorder="1"/>
    <xf numFmtId="0" fontId="8" fillId="0" borderId="1" xfId="0" applyFont="1" applyBorder="1" applyAlignment="1">
      <alignment horizontal="center"/>
    </xf>
    <xf numFmtId="0" fontId="53" fillId="0" borderId="50" xfId="0" applyFont="1" applyBorder="1" applyAlignment="1">
      <alignment horizontal="center" vertical="center" wrapText="1"/>
    </xf>
    <xf numFmtId="171" fontId="8" fillId="0" borderId="0" xfId="9" applyFont="1" applyFill="1" applyAlignment="1" applyProtection="1">
      <protection locked="0"/>
    </xf>
    <xf numFmtId="173" fontId="62" fillId="0" borderId="0" xfId="12" applyNumberFormat="1" applyFont="1" applyProtection="1">
      <protection locked="0"/>
    </xf>
    <xf numFmtId="0" fontId="63" fillId="13" borderId="0" xfId="12" applyFont="1" applyFill="1" applyAlignment="1">
      <alignment vertical="center" wrapText="1"/>
    </xf>
    <xf numFmtId="0" fontId="63" fillId="14" borderId="56" xfId="12" applyFont="1" applyFill="1" applyBorder="1" applyAlignment="1">
      <alignment vertical="center" wrapText="1"/>
    </xf>
    <xf numFmtId="0" fontId="63" fillId="14" borderId="57" xfId="12" applyFont="1" applyFill="1" applyBorder="1" applyAlignment="1">
      <alignment vertical="center" wrapText="1"/>
    </xf>
    <xf numFmtId="0" fontId="63" fillId="14" borderId="58" xfId="12" applyFont="1" applyFill="1" applyBorder="1" applyAlignment="1">
      <alignment vertical="center" wrapText="1"/>
    </xf>
    <xf numFmtId="0" fontId="63" fillId="14" borderId="0" xfId="12" applyFont="1" applyFill="1" applyAlignment="1">
      <alignment vertical="center" wrapText="1"/>
    </xf>
    <xf numFmtId="0" fontId="63" fillId="0" borderId="0" xfId="12" applyFont="1" applyAlignment="1">
      <alignment vertical="center" wrapText="1"/>
    </xf>
    <xf numFmtId="0" fontId="63" fillId="14" borderId="59" xfId="12" applyFont="1" applyFill="1" applyBorder="1" applyAlignment="1">
      <alignment vertical="center" wrapText="1"/>
    </xf>
    <xf numFmtId="0" fontId="63" fillId="14" borderId="60" xfId="12" applyFont="1" applyFill="1" applyBorder="1" applyAlignment="1">
      <alignment vertical="center" wrapText="1"/>
    </xf>
    <xf numFmtId="0" fontId="64" fillId="14" borderId="0" xfId="12" applyFont="1" applyFill="1" applyAlignment="1">
      <alignment horizontal="center" vertical="center" wrapText="1"/>
    </xf>
    <xf numFmtId="0" fontId="63" fillId="14" borderId="0" xfId="12" applyFont="1" applyFill="1" applyAlignment="1">
      <alignment vertical="center"/>
    </xf>
    <xf numFmtId="0" fontId="63" fillId="14" borderId="0" xfId="12" applyFont="1" applyFill="1"/>
    <xf numFmtId="0" fontId="63" fillId="14" borderId="60" xfId="12" applyFont="1" applyFill="1" applyBorder="1"/>
    <xf numFmtId="0" fontId="65" fillId="14" borderId="61" xfId="12" applyFont="1" applyFill="1" applyBorder="1" applyAlignment="1" applyProtection="1">
      <alignment horizontal="center" vertical="center" wrapText="1"/>
      <protection locked="0" hidden="1"/>
    </xf>
    <xf numFmtId="0" fontId="65" fillId="14" borderId="61" xfId="12" applyFont="1" applyFill="1" applyBorder="1" applyAlignment="1" applyProtection="1">
      <alignment horizontal="center" vertical="center"/>
      <protection locked="0" hidden="1"/>
    </xf>
    <xf numFmtId="14" fontId="66" fillId="14" borderId="33" xfId="12" applyNumberFormat="1" applyFont="1" applyFill="1" applyBorder="1" applyAlignment="1" applyProtection="1">
      <alignment horizontal="center" vertical="center"/>
      <protection hidden="1"/>
    </xf>
    <xf numFmtId="4" fontId="63" fillId="14" borderId="0" xfId="12" applyNumberFormat="1" applyFont="1" applyFill="1" applyAlignment="1">
      <alignment vertical="center" wrapText="1"/>
    </xf>
    <xf numFmtId="4" fontId="63" fillId="14" borderId="60" xfId="12" applyNumberFormat="1" applyFont="1" applyFill="1" applyBorder="1" applyAlignment="1">
      <alignment vertical="center" wrapText="1"/>
    </xf>
    <xf numFmtId="14" fontId="63" fillId="0" borderId="0" xfId="12" applyNumberFormat="1" applyFont="1" applyAlignment="1">
      <alignment vertical="center" wrapText="1"/>
    </xf>
    <xf numFmtId="0" fontId="67" fillId="14" borderId="0" xfId="12" applyFont="1" applyFill="1" applyAlignment="1">
      <alignment horizontal="right" vertical="center" wrapText="1"/>
    </xf>
    <xf numFmtId="0" fontId="64" fillId="14" borderId="0" xfId="12" applyFont="1" applyFill="1" applyAlignment="1">
      <alignment vertical="center" wrapText="1"/>
    </xf>
    <xf numFmtId="0" fontId="67" fillId="14" borderId="0" xfId="12" applyFont="1" applyFill="1" applyAlignment="1">
      <alignment horizontal="center" vertical="center" wrapText="1"/>
    </xf>
    <xf numFmtId="0" fontId="64" fillId="14" borderId="60" xfId="12" applyFont="1" applyFill="1" applyBorder="1" applyAlignment="1">
      <alignment vertical="center" wrapText="1"/>
    </xf>
    <xf numFmtId="0" fontId="63" fillId="14" borderId="0" xfId="12" applyFont="1" applyFill="1" applyAlignment="1" applyProtection="1">
      <alignment vertical="center" wrapText="1"/>
      <protection locked="0" hidden="1"/>
    </xf>
    <xf numFmtId="4" fontId="63" fillId="14" borderId="0" xfId="12" applyNumberFormat="1" applyFont="1" applyFill="1" applyAlignment="1" applyProtection="1">
      <alignment vertical="center" wrapText="1"/>
      <protection locked="0" hidden="1"/>
    </xf>
    <xf numFmtId="0" fontId="63" fillId="14" borderId="62" xfId="12" applyFont="1" applyFill="1" applyBorder="1" applyAlignment="1">
      <alignment vertical="center" wrapText="1"/>
    </xf>
    <xf numFmtId="0" fontId="63" fillId="14" borderId="63" xfId="12" applyFont="1" applyFill="1" applyBorder="1" applyAlignment="1">
      <alignment vertical="center" wrapText="1"/>
    </xf>
    <xf numFmtId="0" fontId="63" fillId="14" borderId="64" xfId="12" applyFont="1" applyFill="1" applyBorder="1" applyAlignment="1">
      <alignment vertical="center" wrapText="1"/>
    </xf>
    <xf numFmtId="193" fontId="63" fillId="13" borderId="0" xfId="12" applyNumberFormat="1" applyFont="1" applyFill="1" applyAlignment="1">
      <alignment horizontal="center" vertical="center" wrapText="1"/>
    </xf>
    <xf numFmtId="0" fontId="68" fillId="13" borderId="65" xfId="12" applyFont="1" applyFill="1" applyBorder="1" applyAlignment="1">
      <alignment horizontal="center" vertical="center" wrapText="1"/>
    </xf>
    <xf numFmtId="194" fontId="68" fillId="13" borderId="65" xfId="12" applyNumberFormat="1" applyFont="1" applyFill="1" applyBorder="1" applyAlignment="1">
      <alignment horizontal="center" vertical="center" wrapText="1"/>
    </xf>
    <xf numFmtId="14" fontId="69" fillId="13" borderId="65" xfId="12" applyNumberFormat="1" applyFont="1" applyFill="1" applyBorder="1" applyAlignment="1">
      <alignment horizontal="center" vertical="center" wrapText="1"/>
    </xf>
    <xf numFmtId="194" fontId="66" fillId="13" borderId="65" xfId="12" applyNumberFormat="1" applyFont="1" applyFill="1" applyBorder="1" applyAlignment="1">
      <alignment horizontal="center" vertical="center" wrapText="1"/>
    </xf>
    <xf numFmtId="3" fontId="17" fillId="6" borderId="0" xfId="0" applyNumberFormat="1" applyFont="1" applyFill="1" applyProtection="1">
      <protection locked="0"/>
    </xf>
    <xf numFmtId="3" fontId="17" fillId="0" borderId="0" xfId="0" applyNumberFormat="1" applyFont="1" applyProtection="1">
      <protection locked="0"/>
    </xf>
    <xf numFmtId="0" fontId="28" fillId="0" borderId="14" xfId="0" applyFont="1" applyBorder="1" applyAlignment="1">
      <alignment horizontal="center"/>
    </xf>
    <xf numFmtId="3" fontId="12" fillId="0" borderId="0" xfId="9" applyNumberFormat="1" applyFont="1" applyBorder="1" applyAlignment="1">
      <alignment vertical="center"/>
    </xf>
    <xf numFmtId="3" fontId="11" fillId="0" borderId="0" xfId="9" applyNumberFormat="1" applyFont="1" applyFill="1" applyBorder="1" applyAlignment="1">
      <alignment vertical="center"/>
    </xf>
    <xf numFmtId="3" fontId="11" fillId="0" borderId="11" xfId="9" applyNumberFormat="1" applyFont="1" applyFill="1" applyBorder="1" applyAlignment="1">
      <alignment vertical="center"/>
    </xf>
    <xf numFmtId="3" fontId="11" fillId="0" borderId="32" xfId="9" applyNumberFormat="1" applyFont="1" applyFill="1" applyBorder="1" applyAlignment="1">
      <alignment vertical="center"/>
    </xf>
    <xf numFmtId="3" fontId="0" fillId="0" borderId="11" xfId="0" applyNumberFormat="1" applyBorder="1"/>
    <xf numFmtId="3" fontId="0" fillId="0" borderId="15" xfId="0" applyNumberFormat="1" applyBorder="1"/>
    <xf numFmtId="3" fontId="11" fillId="0" borderId="66" xfId="9" applyNumberFormat="1" applyFont="1" applyFill="1" applyBorder="1" applyAlignment="1">
      <alignment vertical="center"/>
    </xf>
    <xf numFmtId="3" fontId="11" fillId="0" borderId="34" xfId="9" applyNumberFormat="1" applyFont="1" applyFill="1" applyBorder="1" applyAlignment="1">
      <alignment vertical="center"/>
    </xf>
    <xf numFmtId="3" fontId="11" fillId="0" borderId="14" xfId="9" applyNumberFormat="1" applyFont="1" applyFill="1" applyBorder="1" applyAlignment="1">
      <alignment vertical="center"/>
    </xf>
    <xf numFmtId="3" fontId="10" fillId="0" borderId="12" xfId="9" applyNumberFormat="1" applyFont="1" applyFill="1" applyBorder="1" applyAlignment="1">
      <alignment vertical="center"/>
    </xf>
    <xf numFmtId="3" fontId="27" fillId="0" borderId="11" xfId="9" applyNumberFormat="1" applyFont="1" applyFill="1" applyBorder="1" applyAlignment="1">
      <alignment vertical="center"/>
    </xf>
    <xf numFmtId="3" fontId="17" fillId="0" borderId="0" xfId="9" applyNumberFormat="1" applyFont="1" applyFill="1" applyBorder="1" applyAlignment="1" applyProtection="1">
      <alignment vertical="center"/>
      <protection locked="0"/>
    </xf>
    <xf numFmtId="3" fontId="17" fillId="0" borderId="0" xfId="9" applyNumberFormat="1" applyFont="1" applyAlignment="1">
      <alignment vertical="center"/>
    </xf>
    <xf numFmtId="3" fontId="8" fillId="0" borderId="0" xfId="9" applyNumberFormat="1" applyFont="1" applyFill="1" applyBorder="1" applyAlignment="1" applyProtection="1">
      <alignment vertical="center"/>
      <protection locked="0"/>
    </xf>
    <xf numFmtId="3" fontId="17" fillId="0" borderId="0" xfId="9" applyNumberFormat="1" applyFont="1"/>
    <xf numFmtId="3" fontId="17" fillId="0" borderId="5" xfId="9" applyNumberFormat="1" applyFont="1" applyBorder="1"/>
    <xf numFmtId="3" fontId="8" fillId="0" borderId="4" xfId="9" applyNumberFormat="1" applyFont="1" applyFill="1" applyBorder="1" applyAlignment="1" applyProtection="1">
      <alignment vertical="center"/>
    </xf>
    <xf numFmtId="3" fontId="8" fillId="0" borderId="0" xfId="9" applyNumberFormat="1" applyFont="1" applyFill="1" applyBorder="1" applyAlignment="1" applyProtection="1">
      <alignment vertical="center"/>
    </xf>
    <xf numFmtId="3" fontId="8" fillId="0" borderId="5" xfId="9" applyNumberFormat="1" applyFont="1" applyFill="1" applyBorder="1" applyAlignment="1" applyProtection="1">
      <alignment vertical="center"/>
    </xf>
    <xf numFmtId="3" fontId="17" fillId="0" borderId="0" xfId="0" applyNumberFormat="1" applyFont="1"/>
    <xf numFmtId="3" fontId="8" fillId="0" borderId="4" xfId="9" applyNumberFormat="1" applyFont="1" applyFill="1" applyBorder="1" applyAlignment="1" applyProtection="1">
      <alignment vertical="center"/>
      <protection locked="0"/>
    </xf>
    <xf numFmtId="181" fontId="27" fillId="0" borderId="1" xfId="0" applyNumberFormat="1" applyFont="1" applyBorder="1" applyAlignment="1">
      <alignment horizontal="center"/>
    </xf>
    <xf numFmtId="0" fontId="8" fillId="0" borderId="9" xfId="0" applyFont="1" applyBorder="1" applyAlignment="1" applyProtection="1">
      <alignment horizontal="center"/>
      <protection locked="0"/>
    </xf>
    <xf numFmtId="181" fontId="24" fillId="0" borderId="8" xfId="6" applyNumberFormat="1" applyFont="1" applyBorder="1" applyAlignment="1">
      <alignment horizontal="center"/>
    </xf>
    <xf numFmtId="0" fontId="10" fillId="0" borderId="67" xfId="0" applyFont="1" applyBorder="1" applyAlignment="1">
      <alignment horizontal="justify" vertical="center" wrapText="1"/>
    </xf>
    <xf numFmtId="181" fontId="10" fillId="0" borderId="67" xfId="0" applyNumberFormat="1" applyFont="1" applyBorder="1" applyAlignment="1">
      <alignment horizontal="center" vertical="center" wrapText="1"/>
    </xf>
    <xf numFmtId="0" fontId="11" fillId="0" borderId="68" xfId="0" applyFont="1" applyBorder="1" applyAlignment="1">
      <alignment horizontal="left" vertical="center" wrapText="1" indent="2"/>
    </xf>
    <xf numFmtId="0" fontId="75" fillId="0" borderId="0" xfId="33"/>
    <xf numFmtId="0" fontId="75" fillId="0" borderId="0" xfId="33" applyAlignment="1">
      <alignment horizontal="left" vertical="center" indent="2"/>
    </xf>
    <xf numFmtId="164" fontId="30" fillId="0" borderId="0" xfId="0" applyNumberFormat="1" applyFont="1" applyAlignment="1">
      <alignment horizontal="center"/>
    </xf>
    <xf numFmtId="171" fontId="30" fillId="0" borderId="0" xfId="9" applyFont="1" applyBorder="1" applyAlignment="1">
      <alignment horizontal="center"/>
    </xf>
    <xf numFmtId="171" fontId="36" fillId="0" borderId="0" xfId="9" applyFont="1" applyBorder="1" applyAlignment="1">
      <alignment horizontal="center"/>
    </xf>
    <xf numFmtId="0" fontId="23" fillId="0" borderId="0" xfId="6" applyAlignment="1">
      <alignment horizontal="center"/>
    </xf>
    <xf numFmtId="179" fontId="30" fillId="0" borderId="52" xfId="0" applyNumberFormat="1" applyFont="1" applyBorder="1" applyAlignment="1">
      <alignment horizontal="center"/>
    </xf>
    <xf numFmtId="179" fontId="30" fillId="0" borderId="0" xfId="0" applyNumberFormat="1" applyFont="1" applyAlignment="1">
      <alignment horizontal="center"/>
    </xf>
    <xf numFmtId="0" fontId="30" fillId="0" borderId="10" xfId="0" applyFont="1" applyBorder="1" applyAlignment="1">
      <alignment horizontal="center"/>
    </xf>
    <xf numFmtId="164" fontId="36" fillId="0" borderId="0" xfId="0" applyNumberFormat="1" applyFont="1" applyAlignment="1">
      <alignment horizontal="center"/>
    </xf>
    <xf numFmtId="0" fontId="38" fillId="0" borderId="0" xfId="0" applyFont="1" applyAlignment="1">
      <alignment vertical="center"/>
    </xf>
    <xf numFmtId="0" fontId="17" fillId="0" borderId="0" xfId="0" applyFont="1"/>
    <xf numFmtId="0" fontId="54" fillId="0" borderId="0" xfId="0" applyFont="1"/>
    <xf numFmtId="0" fontId="42" fillId="7" borderId="25" xfId="0" applyFont="1" applyFill="1" applyBorder="1"/>
    <xf numFmtId="0" fontId="42" fillId="7" borderId="26" xfId="0" applyFont="1" applyFill="1" applyBorder="1"/>
    <xf numFmtId="0" fontId="52" fillId="9" borderId="53" xfId="0" applyFont="1" applyFill="1" applyBorder="1" applyAlignment="1">
      <alignment horizontal="center" vertical="center"/>
    </xf>
    <xf numFmtId="0" fontId="52" fillId="9" borderId="54" xfId="0" applyFont="1" applyFill="1" applyBorder="1" applyAlignment="1">
      <alignment horizontal="center" vertical="center"/>
    </xf>
    <xf numFmtId="0" fontId="52" fillId="9" borderId="55" xfId="0" applyFont="1" applyFill="1" applyBorder="1" applyAlignment="1">
      <alignment horizontal="center" vertical="center"/>
    </xf>
    <xf numFmtId="0" fontId="48" fillId="0" borderId="0" xfId="0" applyFont="1"/>
    <xf numFmtId="0" fontId="52" fillId="9" borderId="36" xfId="0" applyFont="1" applyFill="1" applyBorder="1" applyAlignment="1">
      <alignment horizontal="center" vertical="center" wrapText="1"/>
    </xf>
    <xf numFmtId="0" fontId="58" fillId="8" borderId="28" xfId="0" applyFont="1" applyFill="1" applyBorder="1" applyAlignment="1">
      <alignment horizontal="center" vertical="center"/>
    </xf>
    <xf numFmtId="0" fontId="58" fillId="8" borderId="29" xfId="0" applyFont="1" applyFill="1" applyBorder="1" applyAlignment="1">
      <alignment horizontal="center" vertical="center"/>
    </xf>
    <xf numFmtId="0" fontId="42" fillId="8" borderId="23" xfId="0" applyFont="1" applyFill="1" applyBorder="1"/>
    <xf numFmtId="0" fontId="42" fillId="8" borderId="0" xfId="0" applyFont="1" applyFill="1"/>
    <xf numFmtId="0" fontId="42" fillId="7" borderId="23" xfId="0" applyFont="1" applyFill="1" applyBorder="1"/>
    <xf numFmtId="0" fontId="42" fillId="7" borderId="0" xfId="0" applyFont="1" applyFill="1"/>
  </cellXfs>
  <cellStyles count="34">
    <cellStyle name="Comma 2" xfId="13" xr:uid="{00000000-0005-0000-0000-000000000000}"/>
    <cellStyle name="Euro" xfId="1" xr:uid="{00000000-0005-0000-0000-000001000000}"/>
    <cellStyle name="Euro 2" xfId="14" xr:uid="{00000000-0005-0000-0000-000002000000}"/>
    <cellStyle name="Hiperlink" xfId="33" builtinId="8"/>
    <cellStyle name="Milliers [0]_Feuil1" xfId="2" xr:uid="{00000000-0005-0000-0000-000004000000}"/>
    <cellStyle name="Milliers_Feuil1" xfId="3" xr:uid="{00000000-0005-0000-0000-000005000000}"/>
    <cellStyle name="Monétaire [0]_Feuil1" xfId="4" xr:uid="{00000000-0005-0000-0000-000006000000}"/>
    <cellStyle name="Monétaire_Feuil1" xfId="5" xr:uid="{00000000-0005-0000-0000-000007000000}"/>
    <cellStyle name="Normal" xfId="0" builtinId="0"/>
    <cellStyle name="Normal - Style1" xfId="15" xr:uid="{00000000-0005-0000-0000-000009000000}"/>
    <cellStyle name="Normal 2" xfId="12" xr:uid="{00000000-0005-0000-0000-00000A000000}"/>
    <cellStyle name="Normal 2 2" xfId="16" xr:uid="{00000000-0005-0000-0000-00000B000000}"/>
    <cellStyle name="Normal 3" xfId="17" xr:uid="{00000000-0005-0000-0000-00000C000000}"/>
    <cellStyle name="Normal 4" xfId="18" xr:uid="{00000000-0005-0000-0000-00000D000000}"/>
    <cellStyle name="Normal_Exercício Pricing" xfId="6" xr:uid="{00000000-0005-0000-0000-00000E000000}"/>
    <cellStyle name="Normal_trab1 GERDAU certo b" xfId="7" xr:uid="{00000000-0005-0000-0000-00000F000000}"/>
    <cellStyle name="Percent 2" xfId="19" xr:uid="{00000000-0005-0000-0000-000010000000}"/>
    <cellStyle name="Porcentagem" xfId="8" builtinId="5"/>
    <cellStyle name="Porcentagem 2" xfId="20" xr:uid="{00000000-0005-0000-0000-000012000000}"/>
    <cellStyle name="Porcentagem 3" xfId="21" xr:uid="{00000000-0005-0000-0000-000013000000}"/>
    <cellStyle name="Prosent_KONREGN203" xfId="22" xr:uid="{00000000-0005-0000-0000-000014000000}"/>
    <cellStyle name="Separador de milhares 2" xfId="23" xr:uid="{00000000-0005-0000-0000-000015000000}"/>
    <cellStyle name="Separador de milhares 2 2" xfId="24" xr:uid="{00000000-0005-0000-0000-000016000000}"/>
    <cellStyle name="Separador de milhares 2 3" xfId="25" xr:uid="{00000000-0005-0000-0000-000017000000}"/>
    <cellStyle name="Separador de milhares_Exercício Pricing" xfId="10" xr:uid="{00000000-0005-0000-0000-000018000000}"/>
    <cellStyle name="Tusenskille [0]_P&amp;L+BAL" xfId="11" xr:uid="{00000000-0005-0000-0000-000019000000}"/>
    <cellStyle name="Tusenskille_KONREGN203" xfId="26" xr:uid="{00000000-0005-0000-0000-00001A000000}"/>
    <cellStyle name="Tusental (0)_sammanställning" xfId="27" xr:uid="{00000000-0005-0000-0000-00001B000000}"/>
    <cellStyle name="Tusental_sammanställning" xfId="28" xr:uid="{00000000-0005-0000-0000-00001C000000}"/>
    <cellStyle name="Valuta (0)_sammanställning" xfId="29" xr:uid="{00000000-0005-0000-0000-00001D000000}"/>
    <cellStyle name="Valuta [0]_KONREGN2NEW" xfId="30" xr:uid="{00000000-0005-0000-0000-00001E000000}"/>
    <cellStyle name="Valuta_KONREGN203" xfId="31" xr:uid="{00000000-0005-0000-0000-00001F000000}"/>
    <cellStyle name="Vírgula" xfId="9" builtinId="3"/>
    <cellStyle name="Vírgula 2" xfId="32" xr:uid="{00000000-0005-0000-0000-000021000000}"/>
  </cellStyles>
  <dxfs count="3">
    <dxf>
      <font>
        <condense val="0"/>
        <extend val="0"/>
        <color indexed="9"/>
      </font>
    </dxf>
    <dxf>
      <font>
        <condense val="0"/>
        <extend val="0"/>
        <color indexed="9"/>
      </font>
    </dxf>
    <dxf>
      <font>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200" b="1" i="0" u="none" strike="noStrike" baseline="0">
                <a:solidFill>
                  <a:srgbClr val="FFFFFF"/>
                </a:solidFill>
                <a:latin typeface="Sylfaen"/>
                <a:ea typeface="Sylfaen"/>
                <a:cs typeface="Sylfaen"/>
              </a:defRPr>
            </a:pPr>
            <a:r>
              <a:rPr lang="pt-BR"/>
              <a:t>PROJEÇÃO DE EBITDA
Bilhões US$</a:t>
            </a:r>
          </a:p>
        </c:rich>
      </c:tx>
      <c:layout>
        <c:manualLayout>
          <c:xMode val="edge"/>
          <c:yMode val="edge"/>
          <c:x val="0.28249355163966117"/>
          <c:y val="3.0927835051546393E-2"/>
        </c:manualLayout>
      </c:layout>
      <c:overlay val="0"/>
      <c:spPr>
        <a:noFill/>
        <a:ln w="25400">
          <a:noFill/>
        </a:ln>
      </c:spPr>
    </c:title>
    <c:autoTitleDeleted val="0"/>
    <c:plotArea>
      <c:layout>
        <c:manualLayout>
          <c:layoutTarget val="inner"/>
          <c:xMode val="edge"/>
          <c:yMode val="edge"/>
          <c:x val="0.17904520878570074"/>
          <c:y val="0.25567010309278349"/>
          <c:w val="0.80371404832692328"/>
          <c:h val="0.59381443298969072"/>
        </c:manualLayout>
      </c:layout>
      <c:barChart>
        <c:barDir val="col"/>
        <c:grouping val="clustered"/>
        <c:varyColors val="0"/>
        <c:ser>
          <c:idx val="0"/>
          <c:order val="0"/>
          <c:tx>
            <c:strRef>
              <c:f>'4-DRE'!$A$35</c:f>
              <c:strCache>
                <c:ptCount val="1"/>
                <c:pt idx="0">
                  <c:v>  EBITDA</c:v>
                </c:pt>
              </c:strCache>
            </c:strRef>
          </c:tx>
          <c:spPr>
            <a:gradFill rotWithShape="0">
              <a:gsLst>
                <a:gs pos="0">
                  <a:srgbClr xmlns:mc="http://schemas.openxmlformats.org/markup-compatibility/2006" xmlns:a14="http://schemas.microsoft.com/office/drawing/2010/main" val="FFCC00" mc:Ignorable="a14" a14:legacySpreadsheetColorIndex="51"/>
                </a:gs>
                <a:gs pos="50000">
                  <a:srgbClr xmlns:mc="http://schemas.openxmlformats.org/markup-compatibility/2006" xmlns:a14="http://schemas.microsoft.com/office/drawing/2010/main" val="765E00" mc:Ignorable="a14" a14:legacySpreadsheetColorIndex="51">
                    <a:gamma/>
                    <a:shade val="46275"/>
                    <a:invGamma/>
                  </a:srgbClr>
                </a:gs>
                <a:gs pos="100000">
                  <a:srgbClr xmlns:mc="http://schemas.openxmlformats.org/markup-compatibility/2006" xmlns:a14="http://schemas.microsoft.com/office/drawing/2010/main" val="FFCC00" mc:Ignorable="a14" a14:legacySpreadsheetColorIndex="51"/>
                </a:gs>
              </a:gsLst>
              <a:lin ang="5400000" scaled="1"/>
            </a:gradFill>
            <a:ln w="12700">
              <a:solidFill>
                <a:srgbClr val="000000"/>
              </a:solidFill>
              <a:prstDash val="solid"/>
            </a:ln>
          </c:spPr>
          <c:invertIfNegative val="0"/>
          <c:dLbls>
            <c:dLbl>
              <c:idx val="0"/>
              <c:layout>
                <c:manualLayout>
                  <c:x val="-4.7052116243678516E-3"/>
                  <c:y val="-1.7702302676082981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FBD-4F1F-B269-36C66C3E7C55}"/>
                </c:ext>
              </c:extLst>
            </c:dLbl>
            <c:dLbl>
              <c:idx val="1"/>
              <c:layout>
                <c:manualLayout>
                  <c:x val="-2.8687354967178312E-3"/>
                  <c:y val="-2.1408447655383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FBD-4F1F-B269-36C66C3E7C55}"/>
                </c:ext>
              </c:extLst>
            </c:dLbl>
            <c:dLbl>
              <c:idx val="2"/>
              <c:layout>
                <c:manualLayout>
                  <c:x val="-5.0111810264172243E-3"/>
                  <c:y val="-2.0515085098898694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FBD-4F1F-B269-36C66C3E7C55}"/>
                </c:ext>
              </c:extLst>
            </c:dLbl>
            <c:dLbl>
              <c:idx val="3"/>
              <c:layout>
                <c:manualLayout>
                  <c:x val="-4.5011049444766372E-3"/>
                  <c:y val="-2.017588007684599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FBD-4F1F-B269-36C66C3E7C55}"/>
                </c:ext>
              </c:extLst>
            </c:dLbl>
            <c:dLbl>
              <c:idx val="4"/>
              <c:layout>
                <c:manualLayout>
                  <c:x val="-3.991028862536051E-3"/>
                  <c:y val="-2.205330519252101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AFBD-4F1F-B269-36C66C3E7C55}"/>
                </c:ext>
              </c:extLst>
            </c:dLbl>
            <c:dLbl>
              <c:idx val="5"/>
              <c:layout>
                <c:manualLayout>
                  <c:x val="-3.4809527805954085E-3"/>
                  <c:y val="-2.5053115783207524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AFBD-4F1F-B269-36C66C3E7C55}"/>
                </c:ext>
              </c:extLst>
            </c:dLbl>
            <c:dLbl>
              <c:idx val="6"/>
              <c:layout>
                <c:manualLayout>
                  <c:x val="-1.6446158928347765E-3"/>
                  <c:y val="-2.526330600427516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AFBD-4F1F-B269-36C66C3E7C55}"/>
                </c:ext>
              </c:extLst>
            </c:dLbl>
            <c:dLbl>
              <c:idx val="7"/>
              <c:layout>
                <c:manualLayout>
                  <c:x val="-7.098191146723767E-3"/>
                  <c:y val="-2.765549151716859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FBD-4F1F-B269-36C66C3E7C55}"/>
                </c:ext>
              </c:extLst>
            </c:dLbl>
            <c:dLbl>
              <c:idx val="8"/>
              <c:layout>
                <c:manualLayout>
                  <c:x val="-6.5881150647831245E-3"/>
                  <c:y val="-2.743166382552689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FBD-4F1F-B269-36C66C3E7C55}"/>
                </c:ext>
              </c:extLst>
            </c:dLbl>
            <c:dLbl>
              <c:idx val="9"/>
              <c:layout>
                <c:manualLayout>
                  <c:x val="-3.4255173712026137E-3"/>
                  <c:y val="-2.7907027085531864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AFBD-4F1F-B269-36C66C3E7C55}"/>
                </c:ext>
              </c:extLst>
            </c:dLbl>
            <c:dLbl>
              <c:idx val="10"/>
              <c:layout>
                <c:manualLayout>
                  <c:x val="-4.2417020950819614E-3"/>
                  <c:y val="-2.614281462239904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AFBD-4F1F-B269-36C66C3E7C55}"/>
                </c:ext>
              </c:extLst>
            </c:dLbl>
            <c:dLbl>
              <c:idx val="11"/>
              <c:layout>
                <c:manualLayout>
                  <c:x val="-5.0578868189614205E-3"/>
                  <c:y val="-2.488015802148445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AFBD-4F1F-B269-36C66C3E7C55}"/>
                </c:ext>
              </c:extLst>
            </c:dLbl>
            <c:dLbl>
              <c:idx val="12"/>
              <c:layout>
                <c:manualLayout>
                  <c:x val="-3.2214106913113446E-3"/>
                  <c:y val="-2.251676272424712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AFBD-4F1F-B269-36C66C3E7C55}"/>
                </c:ext>
              </c:extLst>
            </c:dLbl>
            <c:numFmt formatCode="#,##0.0_);[Red]\(#,##0.0\)" sourceLinked="0"/>
            <c:spPr>
              <a:noFill/>
              <a:ln w="25400">
                <a:noFill/>
              </a:ln>
            </c:spPr>
            <c:txPr>
              <a:bodyPr/>
              <a:lstStyle/>
              <a:p>
                <a:pPr>
                  <a:defRPr sz="1050" b="1" i="0" u="none" strike="noStrike" baseline="0">
                    <a:solidFill>
                      <a:srgbClr val="800080"/>
                    </a:solidFill>
                    <a:latin typeface="Sylfaen"/>
                    <a:ea typeface="Sylfaen"/>
                    <a:cs typeface="Sylfaen"/>
                  </a:defRPr>
                </a:pPr>
                <a:endParaRPr lang="pt-B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'3-Balanço'!$D$5:$Q$5</c:f>
              <c:numCache>
                <c:formatCode>yyyy</c:formatCode>
                <c:ptCount val="14"/>
                <c:pt idx="0">
                  <c:v>42004</c:v>
                </c:pt>
                <c:pt idx="1">
                  <c:v>42369</c:v>
                </c:pt>
                <c:pt idx="2">
                  <c:v>42735</c:v>
                </c:pt>
                <c:pt idx="3">
                  <c:v>43100</c:v>
                </c:pt>
                <c:pt idx="4">
                  <c:v>43465</c:v>
                </c:pt>
                <c:pt idx="5">
                  <c:v>43830</c:v>
                </c:pt>
                <c:pt idx="6">
                  <c:v>44196</c:v>
                </c:pt>
                <c:pt idx="7">
                  <c:v>44561</c:v>
                </c:pt>
                <c:pt idx="8">
                  <c:v>44926</c:v>
                </c:pt>
                <c:pt idx="9">
                  <c:v>45291</c:v>
                </c:pt>
                <c:pt idx="10">
                  <c:v>45657</c:v>
                </c:pt>
                <c:pt idx="11">
                  <c:v>46022</c:v>
                </c:pt>
                <c:pt idx="12">
                  <c:v>46387</c:v>
                </c:pt>
                <c:pt idx="13">
                  <c:v>46752</c:v>
                </c:pt>
              </c:numCache>
            </c:numRef>
          </c:cat>
          <c:val>
            <c:numRef>
              <c:f>'14-Gráficos'!$C$34:$O$34</c:f>
              <c:numCache>
                <c:formatCode>General</c:formatCode>
                <c:ptCount val="13"/>
                <c:pt idx="0">
                  <c:v>3.5219999999999998</c:v>
                </c:pt>
                <c:pt idx="1">
                  <c:v>4.2757766879321357</c:v>
                </c:pt>
                <c:pt idx="2">
                  <c:v>5.0575989207595775</c:v>
                </c:pt>
                <c:pt idx="3">
                  <c:v>5.8067600242112825</c:v>
                </c:pt>
                <c:pt idx="4">
                  <c:v>6.6683270875430125</c:v>
                </c:pt>
                <c:pt idx="5">
                  <c:v>7.8283100543147022</c:v>
                </c:pt>
                <c:pt idx="6">
                  <c:v>9.2742604050381168</c:v>
                </c:pt>
                <c:pt idx="7">
                  <c:v>11.685350792921657</c:v>
                </c:pt>
                <c:pt idx="8">
                  <c:v>14.493674124443508</c:v>
                </c:pt>
                <c:pt idx="9">
                  <c:v>17.503858780746821</c:v>
                </c:pt>
                <c:pt idx="10">
                  <c:v>21.010621112049773</c:v>
                </c:pt>
                <c:pt idx="11">
                  <c:v>25.095458359625649</c:v>
                </c:pt>
                <c:pt idx="12">
                  <c:v>29.852816947993187</c:v>
                </c:pt>
              </c:numCache>
            </c:numRef>
          </c:val>
          <c:extLst>
            <c:ext xmlns:c16="http://schemas.microsoft.com/office/drawing/2014/chart" uri="{C3380CC4-5D6E-409C-BE32-E72D297353CC}">
              <c16:uniqueId val="{0000000D-AFBD-4F1F-B269-36C66C3E7C55}"/>
            </c:ext>
          </c:extLst>
        </c:ser>
        <c:dLbls>
          <c:showLegendKey val="0"/>
          <c:showVal val="1"/>
          <c:showCatName val="0"/>
          <c:showSerName val="0"/>
          <c:showPercent val="0"/>
          <c:showBubbleSize val="0"/>
        </c:dLbls>
        <c:gapWidth val="150"/>
        <c:axId val="86583552"/>
        <c:axId val="87725184"/>
      </c:barChart>
      <c:dateAx>
        <c:axId val="86583552"/>
        <c:scaling>
          <c:orientation val="minMax"/>
        </c:scaling>
        <c:delete val="0"/>
        <c:axPos val="b"/>
        <c:numFmt formatCode="yyyy" sourceLinked="1"/>
        <c:majorTickMark val="out"/>
        <c:minorTickMark val="none"/>
        <c:tickLblPos val="nextTo"/>
        <c:spPr>
          <a:ln w="3175">
            <a:solidFill>
              <a:srgbClr val="000000"/>
            </a:solidFill>
            <a:prstDash val="solid"/>
          </a:ln>
        </c:spPr>
        <c:txPr>
          <a:bodyPr rot="-5400000" vert="horz"/>
          <a:lstStyle/>
          <a:p>
            <a:pPr>
              <a:defRPr sz="700" b="0" i="0" u="none" strike="noStrike" baseline="0">
                <a:solidFill>
                  <a:srgbClr val="FFFFFF"/>
                </a:solidFill>
                <a:latin typeface="Sylfaen"/>
                <a:ea typeface="Sylfaen"/>
                <a:cs typeface="Sylfaen"/>
              </a:defRPr>
            </a:pPr>
            <a:endParaRPr lang="pt-BR"/>
          </a:p>
        </c:txPr>
        <c:crossAx val="87725184"/>
        <c:crosses val="autoZero"/>
        <c:auto val="1"/>
        <c:lblOffset val="100"/>
        <c:baseTimeUnit val="years"/>
        <c:majorUnit val="1"/>
        <c:minorUnit val="1"/>
      </c:dateAx>
      <c:valAx>
        <c:axId val="87725184"/>
        <c:scaling>
          <c:orientation val="minMax"/>
        </c:scaling>
        <c:delete val="0"/>
        <c:axPos val="l"/>
        <c:majorGridlines>
          <c:spPr>
            <a:ln w="3175">
              <a:solidFill>
                <a:srgbClr val="000000"/>
              </a:solidFill>
              <a:prstDash val="solid"/>
            </a:ln>
          </c:spPr>
        </c:majorGridlines>
        <c:numFmt formatCode="#,##0_);[Red]\(#,##0\)" sourceLinked="0"/>
        <c:majorTickMark val="out"/>
        <c:minorTickMark val="none"/>
        <c:tickLblPos val="nextTo"/>
        <c:spPr>
          <a:ln w="3175">
            <a:solidFill>
              <a:srgbClr val="000000"/>
            </a:solidFill>
            <a:prstDash val="solid"/>
          </a:ln>
        </c:spPr>
        <c:txPr>
          <a:bodyPr rot="0" vert="horz"/>
          <a:lstStyle/>
          <a:p>
            <a:pPr>
              <a:defRPr sz="1975" b="0" i="0" u="none" strike="noStrike" baseline="0">
                <a:solidFill>
                  <a:srgbClr val="FFFFFF"/>
                </a:solidFill>
                <a:latin typeface="Sylfaen"/>
                <a:ea typeface="Sylfaen"/>
                <a:cs typeface="Sylfaen"/>
              </a:defRPr>
            </a:pPr>
            <a:endParaRPr lang="pt-BR"/>
          </a:p>
        </c:txPr>
        <c:crossAx val="86583552"/>
        <c:crosses val="autoZero"/>
        <c:crossBetween val="between"/>
      </c:valAx>
      <c:spPr>
        <a:gradFill rotWithShape="0">
          <a:gsLst>
            <a:gs pos="0">
              <a:srgbClr xmlns:mc="http://schemas.openxmlformats.org/markup-compatibility/2006" xmlns:a14="http://schemas.microsoft.com/office/drawing/2010/main" val="FFFFCC" mc:Ignorable="a14" a14:legacySpreadsheetColorIndex="26"/>
            </a:gs>
            <a:gs pos="100000">
              <a:srgbClr xmlns:mc="http://schemas.openxmlformats.org/markup-compatibility/2006" xmlns:a14="http://schemas.microsoft.com/office/drawing/2010/main" val="76765E" mc:Ignorable="a14" a14:legacySpreadsheetColorIndex="26">
                <a:gamma/>
                <a:shade val="46275"/>
                <a:invGamma/>
              </a:srgbClr>
            </a:gs>
          </a:gsLst>
          <a:path path="rect">
            <a:fillToRect l="50000" t="50000" r="50000" b="50000"/>
          </a:path>
        </a:gradFill>
        <a:ln w="12700">
          <a:solidFill>
            <a:srgbClr val="808080"/>
          </a:solidFill>
          <a:prstDash val="solid"/>
        </a:ln>
      </c:spPr>
    </c:plotArea>
    <c:plotVisOnly val="1"/>
    <c:dispBlanksAs val="gap"/>
    <c:showDLblsOverMax val="0"/>
  </c:chart>
  <c:spPr>
    <a:gradFill rotWithShape="0">
      <a:gsLst>
        <a:gs pos="0">
          <a:srgbClr xmlns:mc="http://schemas.openxmlformats.org/markup-compatibility/2006" xmlns:a14="http://schemas.microsoft.com/office/drawing/2010/main" val="18472F" mc:Ignorable="a14" a14:legacySpreadsheetColorIndex="57">
            <a:gamma/>
            <a:shade val="46275"/>
            <a:invGamma/>
          </a:srgbClr>
        </a:gs>
        <a:gs pos="50000">
          <a:srgbClr xmlns:mc="http://schemas.openxmlformats.org/markup-compatibility/2006" xmlns:a14="http://schemas.microsoft.com/office/drawing/2010/main" val="339966" mc:Ignorable="a14" a14:legacySpreadsheetColorIndex="57"/>
        </a:gs>
        <a:gs pos="100000">
          <a:srgbClr xmlns:mc="http://schemas.openxmlformats.org/markup-compatibility/2006" xmlns:a14="http://schemas.microsoft.com/office/drawing/2010/main" val="18472F" mc:Ignorable="a14" a14:legacySpreadsheetColorIndex="57">
            <a:gamma/>
            <a:shade val="46275"/>
            <a:invGamma/>
          </a:srgbClr>
        </a:gs>
      </a:gsLst>
      <a:lin ang="5400000" scaled="1"/>
    </a:gradFill>
    <a:ln w="3175">
      <a:solidFill>
        <a:srgbClr val="000000"/>
      </a:solidFill>
      <a:prstDash val="solid"/>
    </a:ln>
    <a:effectLst>
      <a:outerShdw dist="35921" dir="2700000" algn="br">
        <a:srgbClr val="000000"/>
      </a:outerShdw>
    </a:effectLst>
  </c:spPr>
  <c:txPr>
    <a:bodyPr/>
    <a:lstStyle/>
    <a:p>
      <a:pPr>
        <a:defRPr sz="1975" b="0" i="0" u="none" strike="noStrike" baseline="0">
          <a:solidFill>
            <a:srgbClr val="000000"/>
          </a:solidFill>
          <a:latin typeface="Sylfaen"/>
          <a:ea typeface="Sylfaen"/>
          <a:cs typeface="Sylfaen"/>
        </a:defRPr>
      </a:pPr>
      <a:endParaRPr lang="pt-BR"/>
    </a:p>
  </c:txPr>
  <c:printSettings>
    <c:headerFooter alignWithMargins="0"/>
    <c:pageMargins b="0.984251969" l="0.78740157499999996" r="0.78740157499999996" t="0.984251969" header="0.49212598499999999" footer="0.49212598499999999"/>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2026918490431469E-2"/>
          <c:y val="0.17889928292010432"/>
          <c:w val="0.82244690648376406"/>
          <c:h val="0.63532181242139618"/>
        </c:manualLayout>
      </c:layout>
      <c:scatterChart>
        <c:scatterStyle val="smoothMarker"/>
        <c:varyColors val="0"/>
        <c:ser>
          <c:idx val="0"/>
          <c:order val="0"/>
          <c:tx>
            <c:v>Var Preço Ferro</c:v>
          </c:tx>
          <c:spPr>
            <a:ln w="25400">
              <a:solidFill>
                <a:srgbClr val="000080"/>
              </a:solidFill>
              <a:prstDash val="solid"/>
            </a:ln>
          </c:spPr>
          <c:marker>
            <c:symbol val="none"/>
          </c:marker>
          <c:xVal>
            <c:numRef>
              <c:f>AS!$B$18:$B$30</c:f>
              <c:numCache>
                <c:formatCode>0.0%</c:formatCode>
                <c:ptCount val="13"/>
                <c:pt idx="0">
                  <c:v>0.3</c:v>
                </c:pt>
                <c:pt idx="1">
                  <c:v>0.25</c:v>
                </c:pt>
                <c:pt idx="2">
                  <c:v>0.2</c:v>
                </c:pt>
                <c:pt idx="3">
                  <c:v>0.15</c:v>
                </c:pt>
                <c:pt idx="4">
                  <c:v>0.1</c:v>
                </c:pt>
                <c:pt idx="5">
                  <c:v>0.05</c:v>
                </c:pt>
                <c:pt idx="6">
                  <c:v>0</c:v>
                </c:pt>
                <c:pt idx="7">
                  <c:v>-0.05</c:v>
                </c:pt>
                <c:pt idx="8">
                  <c:v>-0.1</c:v>
                </c:pt>
                <c:pt idx="9">
                  <c:v>-0.15</c:v>
                </c:pt>
                <c:pt idx="10">
                  <c:v>-0.2</c:v>
                </c:pt>
                <c:pt idx="11">
                  <c:v>-0.25</c:v>
                </c:pt>
                <c:pt idx="12">
                  <c:v>-0.3</c:v>
                </c:pt>
              </c:numCache>
            </c:numRef>
          </c:xVal>
          <c:yVal>
            <c:numRef>
              <c:f>AS!$D$18:$D$30</c:f>
              <c:numCache>
                <c:formatCode>_(* #,##0.00_);_(* \(#,##0.00\);_(* "-"??_);_(@_)</c:formatCode>
                <c:ptCount val="13"/>
                <c:pt idx="0">
                  <c:v>67.902643055159089</c:v>
                </c:pt>
                <c:pt idx="1">
                  <c:v>65.665815755884253</c:v>
                </c:pt>
                <c:pt idx="2">
                  <c:v>63.469574521805256</c:v>
                </c:pt>
                <c:pt idx="3">
                  <c:v>61.313180303510364</c:v>
                </c:pt>
                <c:pt idx="4">
                  <c:v>59.195906386030771</c:v>
                </c:pt>
                <c:pt idx="5">
                  <c:v>57.117038192451787</c:v>
                </c:pt>
                <c:pt idx="6">
                  <c:v>55.075873090014838</c:v>
                </c:pt>
                <c:pt idx="7">
                  <c:v>53.071720198651981</c:v>
                </c:pt>
                <c:pt idx="8">
                  <c:v>51.103900201918421</c:v>
                </c:pt>
                <c:pt idx="9">
                  <c:v>49.171745160273467</c:v>
                </c:pt>
                <c:pt idx="10">
                  <c:v>47.274598326663252</c:v>
                </c:pt>
                <c:pt idx="11">
                  <c:v>45.411813964362054</c:v>
                </c:pt>
                <c:pt idx="12">
                  <c:v>43.58275716702228</c:v>
                </c:pt>
              </c:numCache>
            </c:numRef>
          </c:yVal>
          <c:smooth val="0"/>
          <c:extLst>
            <c:ext xmlns:c16="http://schemas.microsoft.com/office/drawing/2014/chart" uri="{C3380CC4-5D6E-409C-BE32-E72D297353CC}">
              <c16:uniqueId val="{00000000-50AD-4C01-80C3-19F1F0087E67}"/>
            </c:ext>
          </c:extLst>
        </c:ser>
        <c:ser>
          <c:idx val="1"/>
          <c:order val="1"/>
          <c:tx>
            <c:v>Var Vol Vendas</c:v>
          </c:tx>
          <c:spPr>
            <a:ln w="38100">
              <a:solidFill>
                <a:srgbClr val="FF00FF"/>
              </a:solidFill>
              <a:prstDash val="solid"/>
            </a:ln>
          </c:spPr>
          <c:marker>
            <c:symbol val="none"/>
          </c:marker>
          <c:xVal>
            <c:numRef>
              <c:f>AS!$B$18:$B$30</c:f>
              <c:numCache>
                <c:formatCode>0.0%</c:formatCode>
                <c:ptCount val="13"/>
                <c:pt idx="0">
                  <c:v>0.3</c:v>
                </c:pt>
                <c:pt idx="1">
                  <c:v>0.25</c:v>
                </c:pt>
                <c:pt idx="2">
                  <c:v>0.2</c:v>
                </c:pt>
                <c:pt idx="3">
                  <c:v>0.15</c:v>
                </c:pt>
                <c:pt idx="4">
                  <c:v>0.1</c:v>
                </c:pt>
                <c:pt idx="5">
                  <c:v>0.05</c:v>
                </c:pt>
                <c:pt idx="6">
                  <c:v>0</c:v>
                </c:pt>
                <c:pt idx="7">
                  <c:v>-0.05</c:v>
                </c:pt>
                <c:pt idx="8">
                  <c:v>-0.1</c:v>
                </c:pt>
                <c:pt idx="9">
                  <c:v>-0.15</c:v>
                </c:pt>
                <c:pt idx="10">
                  <c:v>-0.2</c:v>
                </c:pt>
                <c:pt idx="11">
                  <c:v>-0.25</c:v>
                </c:pt>
                <c:pt idx="12">
                  <c:v>-0.3</c:v>
                </c:pt>
              </c:numCache>
            </c:numRef>
          </c:xVal>
          <c:yVal>
            <c:numRef>
              <c:f>AS!$F$18:$F$30</c:f>
              <c:numCache>
                <c:formatCode>_(* #,##0.00_);_(* \(#,##0.00\);_(* "-"??_);_(@_)</c:formatCode>
                <c:ptCount val="13"/>
                <c:pt idx="0">
                  <c:v>72.82179469824429</c:v>
                </c:pt>
                <c:pt idx="1">
                  <c:v>69.677545205228597</c:v>
                </c:pt>
                <c:pt idx="2">
                  <c:v>66.610416583677249</c:v>
                </c:pt>
                <c:pt idx="3">
                  <c:v>63.618515210769687</c:v>
                </c:pt>
                <c:pt idx="4">
                  <c:v>60.699990144375782</c:v>
                </c:pt>
                <c:pt idx="5">
                  <c:v>57.853032207758012</c:v>
                </c:pt>
                <c:pt idx="6">
                  <c:v>55.075873090014838</c:v>
                </c:pt>
                <c:pt idx="7">
                  <c:v>52.366784461888081</c:v>
                </c:pt>
                <c:pt idx="8">
                  <c:v>49.724077106566433</c:v>
                </c:pt>
                <c:pt idx="9">
                  <c:v>47.146100065096569</c:v>
                </c:pt>
                <c:pt idx="10">
                  <c:v>44.631239796021774</c:v>
                </c:pt>
                <c:pt idx="11">
                  <c:v>42.177919348845109</c:v>
                </c:pt>
                <c:pt idx="12">
                  <c:v>39.784597550921085</c:v>
                </c:pt>
              </c:numCache>
            </c:numRef>
          </c:yVal>
          <c:smooth val="1"/>
          <c:extLst>
            <c:ext xmlns:c16="http://schemas.microsoft.com/office/drawing/2014/chart" uri="{C3380CC4-5D6E-409C-BE32-E72D297353CC}">
              <c16:uniqueId val="{00000001-50AD-4C01-80C3-19F1F0087E67}"/>
            </c:ext>
          </c:extLst>
        </c:ser>
        <c:ser>
          <c:idx val="2"/>
          <c:order val="2"/>
          <c:tx>
            <c:v>Var Investimento</c:v>
          </c:tx>
          <c:spPr>
            <a:ln w="38100">
              <a:solidFill>
                <a:srgbClr val="FFFF00"/>
              </a:solidFill>
              <a:prstDash val="solid"/>
            </a:ln>
          </c:spPr>
          <c:marker>
            <c:symbol val="none"/>
          </c:marker>
          <c:xVal>
            <c:numRef>
              <c:f>AS!$B$18:$B$30</c:f>
              <c:numCache>
                <c:formatCode>0.0%</c:formatCode>
                <c:ptCount val="13"/>
                <c:pt idx="0">
                  <c:v>0.3</c:v>
                </c:pt>
                <c:pt idx="1">
                  <c:v>0.25</c:v>
                </c:pt>
                <c:pt idx="2">
                  <c:v>0.2</c:v>
                </c:pt>
                <c:pt idx="3">
                  <c:v>0.15</c:v>
                </c:pt>
                <c:pt idx="4">
                  <c:v>0.1</c:v>
                </c:pt>
                <c:pt idx="5">
                  <c:v>0.05</c:v>
                </c:pt>
                <c:pt idx="6">
                  <c:v>0</c:v>
                </c:pt>
                <c:pt idx="7">
                  <c:v>-0.05</c:v>
                </c:pt>
                <c:pt idx="8">
                  <c:v>-0.1</c:v>
                </c:pt>
                <c:pt idx="9">
                  <c:v>-0.15</c:v>
                </c:pt>
                <c:pt idx="10">
                  <c:v>-0.2</c:v>
                </c:pt>
                <c:pt idx="11">
                  <c:v>-0.25</c:v>
                </c:pt>
                <c:pt idx="12">
                  <c:v>-0.3</c:v>
                </c:pt>
              </c:numCache>
            </c:numRef>
          </c:xVal>
          <c:yVal>
            <c:numRef>
              <c:f>AS!$H$18:$H$30</c:f>
              <c:numCache>
                <c:formatCode>0.00</c:formatCode>
                <c:ptCount val="13"/>
                <c:pt idx="0">
                  <c:v>51.712717061536146</c:v>
                </c:pt>
                <c:pt idx="1">
                  <c:v>52.273305978931369</c:v>
                </c:pt>
                <c:pt idx="2">
                  <c:v>52.833869588833991</c:v>
                </c:pt>
                <c:pt idx="3">
                  <c:v>53.394407998622938</c:v>
                </c:pt>
                <c:pt idx="4">
                  <c:v>53.954921314935461</c:v>
                </c:pt>
                <c:pt idx="5">
                  <c:v>54.515409643674325</c:v>
                </c:pt>
                <c:pt idx="6">
                  <c:v>55.075873090014838</c:v>
                </c:pt>
                <c:pt idx="7">
                  <c:v>55.636311758411736</c:v>
                </c:pt>
                <c:pt idx="8">
                  <c:v>56.196725752605978</c:v>
                </c:pt>
                <c:pt idx="9">
                  <c:v>56.757115175631526</c:v>
                </c:pt>
                <c:pt idx="10">
                  <c:v>57.31748012982208</c:v>
                </c:pt>
                <c:pt idx="11">
                  <c:v>57.877820716817574</c:v>
                </c:pt>
                <c:pt idx="12">
                  <c:v>58.438137037570826</c:v>
                </c:pt>
              </c:numCache>
            </c:numRef>
          </c:yVal>
          <c:smooth val="1"/>
          <c:extLst>
            <c:ext xmlns:c16="http://schemas.microsoft.com/office/drawing/2014/chart" uri="{C3380CC4-5D6E-409C-BE32-E72D297353CC}">
              <c16:uniqueId val="{00000002-50AD-4C01-80C3-19F1F0087E67}"/>
            </c:ext>
          </c:extLst>
        </c:ser>
        <c:ser>
          <c:idx val="3"/>
          <c:order val="3"/>
          <c:tx>
            <c:v>Var Dolar</c:v>
          </c:tx>
          <c:spPr>
            <a:ln w="12700">
              <a:solidFill>
                <a:srgbClr val="00FFFF"/>
              </a:solidFill>
              <a:prstDash val="solid"/>
            </a:ln>
          </c:spPr>
          <c:marker>
            <c:symbol val="none"/>
          </c:marker>
          <c:xVal>
            <c:numRef>
              <c:f>AS!$B$18:$B$30</c:f>
              <c:numCache>
                <c:formatCode>0.0%</c:formatCode>
                <c:ptCount val="13"/>
                <c:pt idx="0">
                  <c:v>0.3</c:v>
                </c:pt>
                <c:pt idx="1">
                  <c:v>0.25</c:v>
                </c:pt>
                <c:pt idx="2">
                  <c:v>0.2</c:v>
                </c:pt>
                <c:pt idx="3">
                  <c:v>0.15</c:v>
                </c:pt>
                <c:pt idx="4">
                  <c:v>0.1</c:v>
                </c:pt>
                <c:pt idx="5">
                  <c:v>0.05</c:v>
                </c:pt>
                <c:pt idx="6">
                  <c:v>0</c:v>
                </c:pt>
                <c:pt idx="7">
                  <c:v>-0.05</c:v>
                </c:pt>
                <c:pt idx="8">
                  <c:v>-0.1</c:v>
                </c:pt>
                <c:pt idx="9">
                  <c:v>-0.15</c:v>
                </c:pt>
                <c:pt idx="10">
                  <c:v>-0.2</c:v>
                </c:pt>
                <c:pt idx="11">
                  <c:v>-0.25</c:v>
                </c:pt>
                <c:pt idx="12">
                  <c:v>-0.3</c:v>
                </c:pt>
              </c:numCache>
            </c:numRef>
          </c:xVal>
          <c:yVal>
            <c:numRef>
              <c:f>AS!$J$18:$J$30</c:f>
              <c:numCache>
                <c:formatCode>_(* #,##0.00_);_(* \(#,##0.00\);_(* "-"??_);_(@_)</c:formatCode>
                <c:ptCount val="13"/>
                <c:pt idx="0">
                  <c:v>74.258688783768932</c:v>
                </c:pt>
                <c:pt idx="1">
                  <c:v>70.844501309393536</c:v>
                </c:pt>
                <c:pt idx="2">
                  <c:v>67.52023672021167</c:v>
                </c:pt>
                <c:pt idx="3">
                  <c:v>64.283525708075786</c:v>
                </c:pt>
                <c:pt idx="4">
                  <c:v>61.132056293264704</c:v>
                </c:pt>
                <c:pt idx="5">
                  <c:v>58.063572505610459</c:v>
                </c:pt>
                <c:pt idx="6">
                  <c:v>55.075873090014838</c:v>
                </c:pt>
                <c:pt idx="7">
                  <c:v>52.166810235741814</c:v>
                </c:pt>
                <c:pt idx="8">
                  <c:v>49.334288328871231</c:v>
                </c:pt>
                <c:pt idx="9">
                  <c:v>46.576262727272287</c:v>
                </c:pt>
                <c:pt idx="10">
                  <c:v>43.89073855746183</c:v>
                </c:pt>
                <c:pt idx="11">
                  <c:v>41.275769532690411</c:v>
                </c:pt>
                <c:pt idx="12">
                  <c:v>38.72945679157916</c:v>
                </c:pt>
              </c:numCache>
            </c:numRef>
          </c:yVal>
          <c:smooth val="1"/>
          <c:extLst>
            <c:ext xmlns:c16="http://schemas.microsoft.com/office/drawing/2014/chart" uri="{C3380CC4-5D6E-409C-BE32-E72D297353CC}">
              <c16:uniqueId val="{00000003-50AD-4C01-80C3-19F1F0087E67}"/>
            </c:ext>
          </c:extLst>
        </c:ser>
        <c:dLbls>
          <c:showLegendKey val="0"/>
          <c:showVal val="0"/>
          <c:showCatName val="0"/>
          <c:showSerName val="0"/>
          <c:showPercent val="0"/>
          <c:showBubbleSize val="0"/>
        </c:dLbls>
        <c:axId val="94781440"/>
        <c:axId val="94782976"/>
      </c:scatterChart>
      <c:valAx>
        <c:axId val="94781440"/>
        <c:scaling>
          <c:orientation val="minMax"/>
        </c:scaling>
        <c:delete val="0"/>
        <c:axPos val="b"/>
        <c:numFmt formatCode="0.0%" sourceLinked="1"/>
        <c:majorTickMark val="out"/>
        <c:minorTickMark val="none"/>
        <c:tickLblPos val="nextTo"/>
        <c:spPr>
          <a:ln w="3175">
            <a:solidFill>
              <a:srgbClr val="000000"/>
            </a:solidFill>
            <a:prstDash val="solid"/>
          </a:ln>
        </c:spPr>
        <c:txPr>
          <a:bodyPr rot="0" vert="horz"/>
          <a:lstStyle/>
          <a:p>
            <a:pPr>
              <a:defRPr sz="1200" b="0" i="0" u="none" strike="noStrike" baseline="0">
                <a:solidFill>
                  <a:srgbClr val="000000"/>
                </a:solidFill>
                <a:latin typeface="Arial"/>
                <a:ea typeface="Arial"/>
                <a:cs typeface="Arial"/>
              </a:defRPr>
            </a:pPr>
            <a:endParaRPr lang="pt-BR"/>
          </a:p>
        </c:txPr>
        <c:crossAx val="94782976"/>
        <c:crosses val="autoZero"/>
        <c:crossBetween val="midCat"/>
      </c:valAx>
      <c:valAx>
        <c:axId val="94782976"/>
        <c:scaling>
          <c:orientation val="minMax"/>
        </c:scaling>
        <c:delete val="0"/>
        <c:axPos val="l"/>
        <c:majorGridlines>
          <c:spPr>
            <a:ln w="3175">
              <a:solidFill>
                <a:srgbClr val="000000"/>
              </a:solidFill>
              <a:prstDash val="solid"/>
            </a:ln>
          </c:spPr>
        </c:majorGridlines>
        <c:numFmt formatCode="_(* #,##0.00_);_(* \(#,##0.00\);_(* &quot;-&quot;??_);_(@_)" sourceLinked="1"/>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pt-BR"/>
          </a:p>
        </c:txPr>
        <c:crossAx val="94781440"/>
        <c:crosses val="autoZero"/>
        <c:crossBetween val="midCat"/>
      </c:valAx>
      <c:spPr>
        <a:solidFill>
          <a:srgbClr val="C0C0C0"/>
        </a:solidFill>
        <a:ln w="12700">
          <a:solidFill>
            <a:srgbClr val="808080"/>
          </a:solidFill>
          <a:prstDash val="solid"/>
        </a:ln>
      </c:spPr>
    </c:plotArea>
    <c:legend>
      <c:legendPos val="b"/>
      <c:layout>
        <c:manualLayout>
          <c:xMode val="edge"/>
          <c:yMode val="edge"/>
          <c:x val="0.1206032123560713"/>
          <c:y val="0.93348728395490332"/>
          <c:w val="0.75377007722544564"/>
          <c:h val="5.0458772105670451E-2"/>
        </c:manualLayout>
      </c:layout>
      <c:overlay val="0"/>
      <c:spPr>
        <a:solidFill>
          <a:srgbClr val="FFFFFF"/>
        </a:solidFill>
        <a:ln w="3175">
          <a:solidFill>
            <a:srgbClr val="000000"/>
          </a:solidFill>
          <a:prstDash val="solid"/>
        </a:ln>
      </c:spPr>
      <c:txPr>
        <a:bodyPr/>
        <a:lstStyle/>
        <a:p>
          <a:pPr>
            <a:defRPr sz="755" b="1" i="0" u="none" strike="noStrike" baseline="0">
              <a:solidFill>
                <a:srgbClr val="000000"/>
              </a:solidFill>
              <a:latin typeface="Arial"/>
              <a:ea typeface="Arial"/>
              <a:cs typeface="Arial"/>
            </a:defRPr>
          </a:pPr>
          <a:endParaRPr lang="pt-BR"/>
        </a:p>
      </c:txPr>
    </c:legend>
    <c:plotVisOnly val="1"/>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pt-BR"/>
    </a:p>
  </c:txPr>
  <c:printSettings>
    <c:headerFooter alignWithMargins="0"/>
    <c:pageMargins b="0.984251969" l="0.78740157499999996" r="0.78740157499999996" t="0.984251969" header="0.49212598499999999" footer="0.49212598499999999"/>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b="0" i="0" u="none" strike="noStrike" baseline="0">
                <a:solidFill>
                  <a:srgbClr val="000000"/>
                </a:solidFill>
                <a:latin typeface="Sylfaen"/>
                <a:ea typeface="Sylfaen"/>
                <a:cs typeface="Sylfaen"/>
              </a:defRPr>
            </a:pPr>
            <a:r>
              <a:t>Histograma</a:t>
            </a:r>
          </a:p>
        </c:rich>
      </c:tx>
      <c:layout>
        <c:manualLayout>
          <c:xMode val="edge"/>
          <c:yMode val="edge"/>
          <c:x val="0.4365949752939865"/>
          <c:y val="3.3163265306122451E-2"/>
        </c:manualLayout>
      </c:layout>
      <c:overlay val="0"/>
      <c:spPr>
        <a:noFill/>
        <a:ln w="25400">
          <a:noFill/>
        </a:ln>
      </c:spPr>
    </c:title>
    <c:autoTitleDeleted val="0"/>
    <c:plotArea>
      <c:layout>
        <c:manualLayout>
          <c:layoutTarget val="inner"/>
          <c:xMode val="edge"/>
          <c:yMode val="edge"/>
          <c:x val="0.12681181855012055"/>
          <c:y val="0.10204081632653061"/>
          <c:w val="0.73369695018284042"/>
          <c:h val="0.56122448979591832"/>
        </c:manualLayout>
      </c:layout>
      <c:barChart>
        <c:barDir val="col"/>
        <c:grouping val="clustered"/>
        <c:varyColors val="0"/>
        <c:ser>
          <c:idx val="0"/>
          <c:order val="0"/>
          <c:tx>
            <c:v>Freqüência</c:v>
          </c:tx>
          <c:spPr>
            <a:solidFill>
              <a:srgbClr val="9999FF"/>
            </a:solidFill>
            <a:ln w="12700">
              <a:solidFill>
                <a:srgbClr val="000000"/>
              </a:solidFill>
              <a:prstDash val="solid"/>
            </a:ln>
          </c:spPr>
          <c:invertIfNegative val="0"/>
          <c:cat>
            <c:strRef>
              <c:f>AS!$F$219:$F$231</c:f>
              <c:strCache>
                <c:ptCount val="13"/>
                <c:pt idx="0">
                  <c:v>54,25020904</c:v>
                </c:pt>
                <c:pt idx="1">
                  <c:v>72,62261468</c:v>
                </c:pt>
                <c:pt idx="2">
                  <c:v>42,00193862</c:v>
                </c:pt>
                <c:pt idx="3">
                  <c:v>60,37434426</c:v>
                </c:pt>
                <c:pt idx="4">
                  <c:v>35,87780341</c:v>
                </c:pt>
                <c:pt idx="5">
                  <c:v>48,12607383</c:v>
                </c:pt>
                <c:pt idx="6">
                  <c:v>66,49847947</c:v>
                </c:pt>
                <c:pt idx="7">
                  <c:v>78,74674989</c:v>
                </c:pt>
                <c:pt idx="8">
                  <c:v>84,8708851</c:v>
                </c:pt>
                <c:pt idx="9">
                  <c:v>29,7536682</c:v>
                </c:pt>
                <c:pt idx="10">
                  <c:v>90,99502031</c:v>
                </c:pt>
                <c:pt idx="11">
                  <c:v>23,62953299</c:v>
                </c:pt>
                <c:pt idx="12">
                  <c:v>Mais</c:v>
                </c:pt>
              </c:strCache>
            </c:strRef>
          </c:cat>
          <c:val>
            <c:numRef>
              <c:f>AS!$G$219:$G$231</c:f>
              <c:numCache>
                <c:formatCode>General</c:formatCode>
                <c:ptCount val="13"/>
                <c:pt idx="0">
                  <c:v>24</c:v>
                </c:pt>
                <c:pt idx="1">
                  <c:v>22</c:v>
                </c:pt>
                <c:pt idx="2">
                  <c:v>19</c:v>
                </c:pt>
                <c:pt idx="3">
                  <c:v>19</c:v>
                </c:pt>
                <c:pt idx="4">
                  <c:v>15</c:v>
                </c:pt>
                <c:pt idx="5">
                  <c:v>14</c:v>
                </c:pt>
                <c:pt idx="6">
                  <c:v>11</c:v>
                </c:pt>
                <c:pt idx="7">
                  <c:v>9</c:v>
                </c:pt>
                <c:pt idx="8">
                  <c:v>8</c:v>
                </c:pt>
                <c:pt idx="9">
                  <c:v>3</c:v>
                </c:pt>
                <c:pt idx="10">
                  <c:v>3</c:v>
                </c:pt>
                <c:pt idx="11">
                  <c:v>2</c:v>
                </c:pt>
                <c:pt idx="12">
                  <c:v>1</c:v>
                </c:pt>
              </c:numCache>
            </c:numRef>
          </c:val>
          <c:extLst>
            <c:ext xmlns:c16="http://schemas.microsoft.com/office/drawing/2014/chart" uri="{C3380CC4-5D6E-409C-BE32-E72D297353CC}">
              <c16:uniqueId val="{00000000-D5EC-43ED-960F-59EC0D2360A6}"/>
            </c:ext>
          </c:extLst>
        </c:ser>
        <c:dLbls>
          <c:showLegendKey val="0"/>
          <c:showVal val="0"/>
          <c:showCatName val="0"/>
          <c:showSerName val="0"/>
          <c:showPercent val="0"/>
          <c:showBubbleSize val="0"/>
        </c:dLbls>
        <c:gapWidth val="0"/>
        <c:axId val="94825088"/>
        <c:axId val="94844032"/>
      </c:barChart>
      <c:lineChart>
        <c:grouping val="standard"/>
        <c:varyColors val="0"/>
        <c:ser>
          <c:idx val="1"/>
          <c:order val="1"/>
          <c:tx>
            <c:v>% cumulativo</c:v>
          </c:tx>
          <c:spPr>
            <a:ln w="12700">
              <a:solidFill>
                <a:srgbClr val="FF00FF"/>
              </a:solidFill>
              <a:prstDash val="solid"/>
            </a:ln>
          </c:spPr>
          <c:marker>
            <c:symbol val="square"/>
            <c:size val="5"/>
            <c:spPr>
              <a:solidFill>
                <a:srgbClr val="FF00FF"/>
              </a:solidFill>
              <a:ln>
                <a:solidFill>
                  <a:srgbClr val="FF00FF"/>
                </a:solidFill>
                <a:prstDash val="solid"/>
              </a:ln>
            </c:spPr>
          </c:marker>
          <c:cat>
            <c:strRef>
              <c:f>AS!$F$219:$F$231</c:f>
              <c:strCache>
                <c:ptCount val="13"/>
                <c:pt idx="0">
                  <c:v>54,25020904</c:v>
                </c:pt>
                <c:pt idx="1">
                  <c:v>72,62261468</c:v>
                </c:pt>
                <c:pt idx="2">
                  <c:v>42,00193862</c:v>
                </c:pt>
                <c:pt idx="3">
                  <c:v>60,37434426</c:v>
                </c:pt>
                <c:pt idx="4">
                  <c:v>35,87780341</c:v>
                </c:pt>
                <c:pt idx="5">
                  <c:v>48,12607383</c:v>
                </c:pt>
                <c:pt idx="6">
                  <c:v>66,49847947</c:v>
                </c:pt>
                <c:pt idx="7">
                  <c:v>78,74674989</c:v>
                </c:pt>
                <c:pt idx="8">
                  <c:v>84,8708851</c:v>
                </c:pt>
                <c:pt idx="9">
                  <c:v>29,7536682</c:v>
                </c:pt>
                <c:pt idx="10">
                  <c:v>90,99502031</c:v>
                </c:pt>
                <c:pt idx="11">
                  <c:v>23,62953299</c:v>
                </c:pt>
                <c:pt idx="12">
                  <c:v>Mais</c:v>
                </c:pt>
              </c:strCache>
            </c:strRef>
          </c:cat>
          <c:val>
            <c:numRef>
              <c:f>AS!$H$219:$H$231</c:f>
              <c:numCache>
                <c:formatCode>0.00%</c:formatCode>
                <c:ptCount val="13"/>
                <c:pt idx="0">
                  <c:v>0.16</c:v>
                </c:pt>
                <c:pt idx="1">
                  <c:v>0.30666666666666664</c:v>
                </c:pt>
                <c:pt idx="2">
                  <c:v>0.43333333333333335</c:v>
                </c:pt>
                <c:pt idx="3">
                  <c:v>0.56000000000000005</c:v>
                </c:pt>
                <c:pt idx="4">
                  <c:v>0.66</c:v>
                </c:pt>
                <c:pt idx="5">
                  <c:v>0.7533333333333333</c:v>
                </c:pt>
                <c:pt idx="6">
                  <c:v>0.82666666666666666</c:v>
                </c:pt>
                <c:pt idx="7">
                  <c:v>0.88666666666666671</c:v>
                </c:pt>
                <c:pt idx="8">
                  <c:v>0.94</c:v>
                </c:pt>
                <c:pt idx="9">
                  <c:v>0.96</c:v>
                </c:pt>
                <c:pt idx="10">
                  <c:v>0.98</c:v>
                </c:pt>
                <c:pt idx="11">
                  <c:v>0.99333333333333329</c:v>
                </c:pt>
                <c:pt idx="12">
                  <c:v>1</c:v>
                </c:pt>
              </c:numCache>
            </c:numRef>
          </c:val>
          <c:smooth val="0"/>
          <c:extLst>
            <c:ext xmlns:c16="http://schemas.microsoft.com/office/drawing/2014/chart" uri="{C3380CC4-5D6E-409C-BE32-E72D297353CC}">
              <c16:uniqueId val="{00000001-D5EC-43ED-960F-59EC0D2360A6}"/>
            </c:ext>
          </c:extLst>
        </c:ser>
        <c:dLbls>
          <c:showLegendKey val="0"/>
          <c:showVal val="0"/>
          <c:showCatName val="0"/>
          <c:showSerName val="0"/>
          <c:showPercent val="0"/>
          <c:showBubbleSize val="0"/>
        </c:dLbls>
        <c:marker val="1"/>
        <c:smooth val="0"/>
        <c:axId val="94845952"/>
        <c:axId val="94860032"/>
      </c:lineChart>
      <c:catAx>
        <c:axId val="94825088"/>
        <c:scaling>
          <c:orientation val="minMax"/>
        </c:scaling>
        <c:delete val="0"/>
        <c:axPos val="b"/>
        <c:title>
          <c:tx>
            <c:rich>
              <a:bodyPr/>
              <a:lstStyle/>
              <a:p>
                <a:pPr>
                  <a:defRPr sz="1050" b="0" i="0" u="none" strike="noStrike" baseline="0">
                    <a:solidFill>
                      <a:srgbClr val="000000"/>
                    </a:solidFill>
                    <a:latin typeface="Sylfaen"/>
                    <a:ea typeface="Sylfaen"/>
                    <a:cs typeface="Sylfaen"/>
                  </a:defRPr>
                </a:pPr>
                <a:r>
                  <a:t>Bloco</a:t>
                </a:r>
              </a:p>
            </c:rich>
          </c:tx>
          <c:layout>
            <c:manualLayout>
              <c:xMode val="edge"/>
              <c:yMode val="edge"/>
              <c:x val="0.48188491049045817"/>
              <c:y val="0.8571428571428571"/>
            </c:manualLayout>
          </c:layout>
          <c:overlay val="0"/>
          <c:spPr>
            <a:noFill/>
            <a:ln w="25400">
              <a:noFill/>
            </a:ln>
          </c:spPr>
        </c:title>
        <c:numFmt formatCode="#,##0.00" sourceLinked="0"/>
        <c:majorTickMark val="cross"/>
        <c:minorTickMark val="none"/>
        <c:tickLblPos val="nextTo"/>
        <c:spPr>
          <a:ln w="3175">
            <a:solidFill>
              <a:srgbClr val="000000"/>
            </a:solidFill>
            <a:prstDash val="solid"/>
          </a:ln>
        </c:spPr>
        <c:txPr>
          <a:bodyPr rot="-2700000" vert="horz"/>
          <a:lstStyle/>
          <a:p>
            <a:pPr>
              <a:defRPr sz="1050" b="0" i="0" u="none" strike="noStrike" baseline="0">
                <a:solidFill>
                  <a:srgbClr val="000000"/>
                </a:solidFill>
                <a:latin typeface="Sylfaen"/>
                <a:ea typeface="Sylfaen"/>
                <a:cs typeface="Sylfaen"/>
              </a:defRPr>
            </a:pPr>
            <a:endParaRPr lang="pt-BR"/>
          </a:p>
        </c:txPr>
        <c:crossAx val="94844032"/>
        <c:crosses val="autoZero"/>
        <c:auto val="1"/>
        <c:lblAlgn val="ctr"/>
        <c:lblOffset val="100"/>
        <c:tickLblSkip val="1"/>
        <c:tickMarkSkip val="1"/>
        <c:noMultiLvlLbl val="0"/>
      </c:catAx>
      <c:valAx>
        <c:axId val="94844032"/>
        <c:scaling>
          <c:orientation val="minMax"/>
        </c:scaling>
        <c:delete val="0"/>
        <c:axPos val="l"/>
        <c:title>
          <c:tx>
            <c:rich>
              <a:bodyPr/>
              <a:lstStyle/>
              <a:p>
                <a:pPr>
                  <a:defRPr sz="1050" b="0" i="0" u="none" strike="noStrike" baseline="0">
                    <a:solidFill>
                      <a:srgbClr val="000000"/>
                    </a:solidFill>
                    <a:latin typeface="Sylfaen"/>
                    <a:ea typeface="Sylfaen"/>
                    <a:cs typeface="Sylfaen"/>
                  </a:defRPr>
                </a:pPr>
                <a:r>
                  <a:t>Freqüência</a:t>
                </a:r>
              </a:p>
            </c:rich>
          </c:tx>
          <c:layout>
            <c:manualLayout>
              <c:xMode val="edge"/>
              <c:yMode val="edge"/>
              <c:x val="9.0579870392943265E-3"/>
              <c:y val="0.30102040816326531"/>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1050" b="0" i="0" u="none" strike="noStrike" baseline="0">
                <a:solidFill>
                  <a:srgbClr val="000000"/>
                </a:solidFill>
                <a:latin typeface="Sylfaen"/>
                <a:ea typeface="Sylfaen"/>
                <a:cs typeface="Sylfaen"/>
              </a:defRPr>
            </a:pPr>
            <a:endParaRPr lang="pt-BR"/>
          </a:p>
        </c:txPr>
        <c:crossAx val="94825088"/>
        <c:crosses val="autoZero"/>
        <c:crossBetween val="between"/>
      </c:valAx>
      <c:catAx>
        <c:axId val="94845952"/>
        <c:scaling>
          <c:orientation val="minMax"/>
        </c:scaling>
        <c:delete val="1"/>
        <c:axPos val="b"/>
        <c:numFmt formatCode="General" sourceLinked="1"/>
        <c:majorTickMark val="out"/>
        <c:minorTickMark val="none"/>
        <c:tickLblPos val="nextTo"/>
        <c:crossAx val="94860032"/>
        <c:crosses val="autoZero"/>
        <c:auto val="1"/>
        <c:lblAlgn val="ctr"/>
        <c:lblOffset val="100"/>
        <c:noMultiLvlLbl val="0"/>
      </c:catAx>
      <c:valAx>
        <c:axId val="94860032"/>
        <c:scaling>
          <c:orientation val="minMax"/>
        </c:scaling>
        <c:delete val="0"/>
        <c:axPos val="r"/>
        <c:numFmt formatCode="0.00%" sourceLinked="1"/>
        <c:majorTickMark val="cross"/>
        <c:minorTickMark val="none"/>
        <c:tickLblPos val="nextTo"/>
        <c:spPr>
          <a:ln w="3175">
            <a:solidFill>
              <a:srgbClr val="000000"/>
            </a:solidFill>
            <a:prstDash val="solid"/>
          </a:ln>
        </c:spPr>
        <c:txPr>
          <a:bodyPr rot="0" vert="horz"/>
          <a:lstStyle/>
          <a:p>
            <a:pPr>
              <a:defRPr sz="1050" b="0" i="0" u="none" strike="noStrike" baseline="0">
                <a:solidFill>
                  <a:srgbClr val="000000"/>
                </a:solidFill>
                <a:latin typeface="Sylfaen"/>
                <a:ea typeface="Sylfaen"/>
                <a:cs typeface="Sylfaen"/>
              </a:defRPr>
            </a:pPr>
            <a:endParaRPr lang="pt-BR"/>
          </a:p>
        </c:txPr>
        <c:crossAx val="94845952"/>
        <c:crosses val="max"/>
        <c:crossBetween val="between"/>
      </c:valAx>
      <c:spPr>
        <a:solidFill>
          <a:srgbClr val="C0C0C0"/>
        </a:solidFill>
        <a:ln w="12700">
          <a:solidFill>
            <a:srgbClr val="808080"/>
          </a:solidFill>
          <a:prstDash val="solid"/>
        </a:ln>
      </c:spPr>
    </c:plotArea>
    <c:legend>
      <c:legendPos val="r"/>
      <c:layout>
        <c:manualLayout>
          <c:xMode val="edge"/>
          <c:yMode val="edge"/>
          <c:x val="0.32608753341459573"/>
          <c:y val="0.91581632653061229"/>
          <c:w val="0.43297178047826879"/>
          <c:h val="7.1428571428571425E-2"/>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Sylfaen"/>
              <a:ea typeface="Sylfaen"/>
              <a:cs typeface="Sylfaen"/>
            </a:defRPr>
          </a:pPr>
          <a:endParaRPr lang="pt-BR"/>
        </a:p>
      </c:txPr>
    </c:legend>
    <c:plotVisOnly val="1"/>
    <c:dispBlanksAs val="gap"/>
    <c:showDLblsOverMax val="0"/>
  </c:chart>
  <c:spPr>
    <a:solidFill>
      <a:srgbClr val="FFFFFF"/>
    </a:solidFill>
    <a:ln w="3175">
      <a:solidFill>
        <a:srgbClr val="000000"/>
      </a:solidFill>
      <a:prstDash val="solid"/>
    </a:ln>
  </c:spPr>
  <c:txPr>
    <a:bodyPr/>
    <a:lstStyle/>
    <a:p>
      <a:pPr>
        <a:defRPr sz="1050" b="0" i="0" u="none" strike="noStrike" baseline="0">
          <a:solidFill>
            <a:srgbClr val="000000"/>
          </a:solidFill>
          <a:latin typeface="Sylfaen"/>
          <a:ea typeface="Sylfaen"/>
          <a:cs typeface="Sylfaen"/>
        </a:defRPr>
      </a:pPr>
      <a:endParaRPr lang="pt-BR"/>
    </a:p>
  </c:txPr>
  <c:printSettings>
    <c:headerFooter alignWithMargins="0"/>
    <c:pageMargins b="0.984251969" l="0.78740157499999996" r="0.78740157499999996" t="0.984251969" header="0.49212598499999999" footer="0.49212598499999999"/>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v>Sens. VPL ao  Investimento</c:v>
          </c:tx>
          <c:spPr>
            <a:ln w="38100">
              <a:solidFill>
                <a:srgbClr val="000080"/>
              </a:solidFill>
              <a:prstDash val="solid"/>
            </a:ln>
          </c:spPr>
          <c:marker>
            <c:symbol val="none"/>
          </c:marker>
          <c:xVal>
            <c:numRef>
              <c:f>Sensibilidade!#REF!</c:f>
              <c:numCache>
                <c:formatCode>General</c:formatCode>
                <c:ptCount val="1"/>
                <c:pt idx="0">
                  <c:v>1</c:v>
                </c:pt>
              </c:numCache>
            </c:numRef>
          </c:xVal>
          <c:yVal>
            <c:numRef>
              <c:f>Sensibilidade!#REF!</c:f>
              <c:numCache>
                <c:formatCode>General</c:formatCode>
                <c:ptCount val="1"/>
                <c:pt idx="0">
                  <c:v>1</c:v>
                </c:pt>
              </c:numCache>
            </c:numRef>
          </c:yVal>
          <c:smooth val="0"/>
          <c:extLst>
            <c:ext xmlns:c16="http://schemas.microsoft.com/office/drawing/2014/chart" uri="{C3380CC4-5D6E-409C-BE32-E72D297353CC}">
              <c16:uniqueId val="{00000000-5A8E-4DEA-A3DE-ECAD1402AF93}"/>
            </c:ext>
          </c:extLst>
        </c:ser>
        <c:ser>
          <c:idx val="1"/>
          <c:order val="1"/>
          <c:tx>
            <c:v>Sens. VPL ao Preçp</c:v>
          </c:tx>
          <c:spPr>
            <a:ln w="12700">
              <a:solidFill>
                <a:srgbClr val="FF00FF"/>
              </a:solidFill>
              <a:prstDash val="solid"/>
            </a:ln>
          </c:spPr>
          <c:marker>
            <c:symbol val="none"/>
          </c:marker>
          <c:xVal>
            <c:numRef>
              <c:f>Sensibilidade!#REF!</c:f>
              <c:numCache>
                <c:formatCode>General</c:formatCode>
                <c:ptCount val="1"/>
                <c:pt idx="0">
                  <c:v>1</c:v>
                </c:pt>
              </c:numCache>
            </c:numRef>
          </c:xVal>
          <c:yVal>
            <c:numRef>
              <c:f>Sensibilidade!#REF!</c:f>
              <c:numCache>
                <c:formatCode>General</c:formatCode>
                <c:ptCount val="1"/>
                <c:pt idx="0">
                  <c:v>1</c:v>
                </c:pt>
              </c:numCache>
            </c:numRef>
          </c:yVal>
          <c:smooth val="0"/>
          <c:extLst>
            <c:ext xmlns:c16="http://schemas.microsoft.com/office/drawing/2014/chart" uri="{C3380CC4-5D6E-409C-BE32-E72D297353CC}">
              <c16:uniqueId val="{00000001-5A8E-4DEA-A3DE-ECAD1402AF93}"/>
            </c:ext>
          </c:extLst>
        </c:ser>
        <c:dLbls>
          <c:showLegendKey val="0"/>
          <c:showVal val="0"/>
          <c:showCatName val="0"/>
          <c:showSerName val="0"/>
          <c:showPercent val="0"/>
          <c:showBubbleSize val="0"/>
        </c:dLbls>
        <c:axId val="96397184"/>
        <c:axId val="96398720"/>
      </c:scatterChart>
      <c:valAx>
        <c:axId val="96397184"/>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400" b="0" i="0" u="none" strike="noStrike" baseline="0">
                <a:solidFill>
                  <a:srgbClr val="000000"/>
                </a:solidFill>
                <a:latin typeface="Arial"/>
                <a:ea typeface="Arial"/>
                <a:cs typeface="Arial"/>
              </a:defRPr>
            </a:pPr>
            <a:endParaRPr lang="pt-BR"/>
          </a:p>
        </c:txPr>
        <c:crossAx val="96398720"/>
        <c:crosses val="autoZero"/>
        <c:crossBetween val="midCat"/>
      </c:valAx>
      <c:valAx>
        <c:axId val="96398720"/>
        <c:scaling>
          <c:orientation val="minMax"/>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400" b="0" i="0" u="none" strike="noStrike" baseline="0">
                <a:solidFill>
                  <a:srgbClr val="000000"/>
                </a:solidFill>
                <a:latin typeface="Arial"/>
                <a:ea typeface="Arial"/>
                <a:cs typeface="Arial"/>
              </a:defRPr>
            </a:pPr>
            <a:endParaRPr lang="pt-BR"/>
          </a:p>
        </c:txPr>
        <c:crossAx val="96397184"/>
        <c:crosses val="autoZero"/>
        <c:crossBetween val="midCat"/>
      </c:valAx>
      <c:spPr>
        <a:solidFill>
          <a:srgbClr val="C0C0C0"/>
        </a:solidFill>
        <a:ln w="12700">
          <a:solidFill>
            <a:srgbClr val="808080"/>
          </a:solidFill>
          <a:prstDash val="solid"/>
        </a:ln>
      </c:spPr>
    </c:plotArea>
    <c:legend>
      <c:legendPos val="r"/>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pt-BR"/>
        </a:p>
      </c:txPr>
    </c:legend>
    <c:plotVisOnly val="1"/>
    <c:dispBlanksAs val="gap"/>
    <c:showDLblsOverMax val="0"/>
  </c:chart>
  <c:spPr>
    <a:solidFill>
      <a:srgbClr val="FFFFFF"/>
    </a:solidFill>
    <a:ln w="3175">
      <a:solidFill>
        <a:srgbClr val="000000"/>
      </a:solidFill>
      <a:prstDash val="solid"/>
    </a:ln>
  </c:spPr>
  <c:txPr>
    <a:bodyPr/>
    <a:lstStyle/>
    <a:p>
      <a:pPr>
        <a:defRPr sz="350" b="0" i="0" u="none" strike="noStrike" baseline="0">
          <a:solidFill>
            <a:srgbClr val="000000"/>
          </a:solidFill>
          <a:latin typeface="Arial"/>
          <a:ea typeface="Arial"/>
          <a:cs typeface="Arial"/>
        </a:defRPr>
      </a:pPr>
      <a:endParaRPr lang="pt-BR"/>
    </a:p>
  </c:txPr>
  <c:printSettings>
    <c:headerFooter alignWithMargins="0"/>
    <c:pageMargins b="0.984251969" l="0.78740157499999996" r="0.78740157499999996" t="0.984251969" header="0.49212598499999999" footer="0.49212598499999999"/>
    <c:pageSetup/>
  </c:printSettings>
</c:chartSpace>
</file>

<file path=xl/ctrlProps/ctrlProp1.xml><?xml version="1.0" encoding="utf-8"?>
<formControlPr xmlns="http://schemas.microsoft.com/office/spreadsheetml/2009/9/main" objectType="Spin" dx="16" fmlaLink="$H$10" max="2100" min="2008" page="10" val="2014"/>
</file>

<file path=xl/ctrlProps/ctrlProp2.xml><?xml version="1.0" encoding="utf-8"?>
<formControlPr xmlns="http://schemas.microsoft.com/office/spreadsheetml/2009/9/main" objectType="Spin" dx="16" fmlaLink="$J$10" max="12" min="1" page="10"/>
</file>

<file path=xl/ctrlProps/ctrlProp3.xml><?xml version="1.0" encoding="utf-8"?>
<formControlPr xmlns="http://schemas.microsoft.com/office/spreadsheetml/2009/9/main" objectType="Drop" dropStyle="combo" dx="16" fmlaLink="$J$13" fmlaRange="$M$45:$M$46" sel="1" val="0"/>
</file>

<file path=xl/ctrlProps/ctrlProp4.xml><?xml version="1.0" encoding="utf-8"?>
<formControlPr xmlns="http://schemas.microsoft.com/office/spreadsheetml/2009/9/main" objectType="Drop" dropStyle="combo" dx="16" fmlaLink="$L$13" fmlaRange="$M$48:$M$49" sel="1" val="0"/>
</file>

<file path=xl/drawings/_rels/drawing2.xml.rels><?xml version="1.0" encoding="UTF-8" standalone="yes"?>
<Relationships xmlns="http://schemas.openxmlformats.org/package/2006/relationships"><Relationship Id="rId2" Type="http://schemas.openxmlformats.org/officeDocument/2006/relationships/image" Target="http://www.fgv.br/images/hp/LogoFGV.gif" TargetMode="External"/><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8</xdr:col>
          <xdr:colOff>38100</xdr:colOff>
          <xdr:row>9</xdr:row>
          <xdr:rowOff>0</xdr:rowOff>
        </xdr:from>
        <xdr:to>
          <xdr:col>8</xdr:col>
          <xdr:colOff>198120</xdr:colOff>
          <xdr:row>9</xdr:row>
          <xdr:rowOff>259080</xdr:rowOff>
        </xdr:to>
        <xdr:sp macro="" textlink="">
          <xdr:nvSpPr>
            <xdr:cNvPr id="45057" name="Spinner 1" hidden="1">
              <a:extLst>
                <a:ext uri="{63B3BB69-23CF-44E3-9099-C40C66FF867C}">
                  <a14:compatExt spid="_x0000_s45057"/>
                </a:ext>
                <a:ext uri="{FF2B5EF4-FFF2-40B4-BE49-F238E27FC236}">
                  <a16:creationId xmlns:a16="http://schemas.microsoft.com/office/drawing/2014/main" id="{00000000-0008-0000-0000-000001B0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38100</xdr:colOff>
          <xdr:row>9</xdr:row>
          <xdr:rowOff>7620</xdr:rowOff>
        </xdr:from>
        <xdr:to>
          <xdr:col>10</xdr:col>
          <xdr:colOff>198120</xdr:colOff>
          <xdr:row>9</xdr:row>
          <xdr:rowOff>251460</xdr:rowOff>
        </xdr:to>
        <xdr:sp macro="" textlink="">
          <xdr:nvSpPr>
            <xdr:cNvPr id="45058" name="Spinner 2" hidden="1">
              <a:extLst>
                <a:ext uri="{63B3BB69-23CF-44E3-9099-C40C66FF867C}">
                  <a14:compatExt spid="_x0000_s45058"/>
                </a:ext>
                <a:ext uri="{FF2B5EF4-FFF2-40B4-BE49-F238E27FC236}">
                  <a16:creationId xmlns:a16="http://schemas.microsoft.com/office/drawing/2014/main" id="{00000000-0008-0000-0000-000002B0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60960</xdr:colOff>
          <xdr:row>12</xdr:row>
          <xdr:rowOff>76200</xdr:rowOff>
        </xdr:from>
        <xdr:to>
          <xdr:col>10</xdr:col>
          <xdr:colOff>236220</xdr:colOff>
          <xdr:row>12</xdr:row>
          <xdr:rowOff>236220</xdr:rowOff>
        </xdr:to>
        <xdr:sp macro="" textlink="">
          <xdr:nvSpPr>
            <xdr:cNvPr id="45059" name="Drop Down 3" hidden="1">
              <a:extLst>
                <a:ext uri="{63B3BB69-23CF-44E3-9099-C40C66FF867C}">
                  <a14:compatExt spid="_x0000_s45059"/>
                </a:ext>
                <a:ext uri="{FF2B5EF4-FFF2-40B4-BE49-F238E27FC236}">
                  <a16:creationId xmlns:a16="http://schemas.microsoft.com/office/drawing/2014/main" id="{00000000-0008-0000-0000-000003B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30480</xdr:colOff>
          <xdr:row>12</xdr:row>
          <xdr:rowOff>76200</xdr:rowOff>
        </xdr:from>
        <xdr:to>
          <xdr:col>12</xdr:col>
          <xdr:colOff>0</xdr:colOff>
          <xdr:row>12</xdr:row>
          <xdr:rowOff>236220</xdr:rowOff>
        </xdr:to>
        <xdr:sp macro="" textlink="">
          <xdr:nvSpPr>
            <xdr:cNvPr id="45060" name="Drop Down 4" hidden="1">
              <a:extLst>
                <a:ext uri="{63B3BB69-23CF-44E3-9099-C40C66FF867C}">
                  <a14:compatExt spid="_x0000_s45060"/>
                </a:ext>
                <a:ext uri="{FF2B5EF4-FFF2-40B4-BE49-F238E27FC236}">
                  <a16:creationId xmlns:a16="http://schemas.microsoft.com/office/drawing/2014/main" id="{00000000-0008-0000-0000-000004B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7</xdr:col>
      <xdr:colOff>0</xdr:colOff>
      <xdr:row>0</xdr:row>
      <xdr:rowOff>0</xdr:rowOff>
    </xdr:from>
    <xdr:to>
      <xdr:col>8</xdr:col>
      <xdr:colOff>381000</xdr:colOff>
      <xdr:row>0</xdr:row>
      <xdr:rowOff>0</xdr:rowOff>
    </xdr:to>
    <xdr:pic>
      <xdr:nvPicPr>
        <xdr:cNvPr id="23553" name="Picture 1" descr="http://www.fgv.br/images/hp/LogoFGV.gif">
          <a:extLst>
            <a:ext uri="{FF2B5EF4-FFF2-40B4-BE49-F238E27FC236}">
              <a16:creationId xmlns:a16="http://schemas.microsoft.com/office/drawing/2014/main" id="{00000000-0008-0000-0800-0000015C0000}"/>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6524625" y="0"/>
          <a:ext cx="9620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123825</xdr:colOff>
      <xdr:row>1</xdr:row>
      <xdr:rowOff>19050</xdr:rowOff>
    </xdr:from>
    <xdr:to>
      <xdr:col>11</xdr:col>
      <xdr:colOff>600075</xdr:colOff>
      <xdr:row>29</xdr:row>
      <xdr:rowOff>104775</xdr:rowOff>
    </xdr:to>
    <xdr:graphicFrame macro="">
      <xdr:nvGraphicFramePr>
        <xdr:cNvPr id="18433" name="Gráfico 1">
          <a:extLst>
            <a:ext uri="{FF2B5EF4-FFF2-40B4-BE49-F238E27FC236}">
              <a16:creationId xmlns:a16="http://schemas.microsoft.com/office/drawing/2014/main" id="{00000000-0008-0000-1000-0000014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400050</xdr:colOff>
      <xdr:row>31</xdr:row>
      <xdr:rowOff>57150</xdr:rowOff>
    </xdr:from>
    <xdr:to>
      <xdr:col>9</xdr:col>
      <xdr:colOff>457200</xdr:colOff>
      <xdr:row>57</xdr:row>
      <xdr:rowOff>0</xdr:rowOff>
    </xdr:to>
    <xdr:graphicFrame macro="">
      <xdr:nvGraphicFramePr>
        <xdr:cNvPr id="28673" name="Gráfico 1">
          <a:extLst>
            <a:ext uri="{FF2B5EF4-FFF2-40B4-BE49-F238E27FC236}">
              <a16:creationId xmlns:a16="http://schemas.microsoft.com/office/drawing/2014/main" id="{00000000-0008-0000-1100-0000017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342900</xdr:colOff>
      <xdr:row>232</xdr:row>
      <xdr:rowOff>19050</xdr:rowOff>
    </xdr:from>
    <xdr:to>
      <xdr:col>8</xdr:col>
      <xdr:colOff>704850</xdr:colOff>
      <xdr:row>255</xdr:row>
      <xdr:rowOff>28575</xdr:rowOff>
    </xdr:to>
    <xdr:graphicFrame macro="">
      <xdr:nvGraphicFramePr>
        <xdr:cNvPr id="28680" name="Gráfico 8">
          <a:extLst>
            <a:ext uri="{FF2B5EF4-FFF2-40B4-BE49-F238E27FC236}">
              <a16:creationId xmlns:a16="http://schemas.microsoft.com/office/drawing/2014/main" id="{00000000-0008-0000-1100-0000087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1019175</xdr:colOff>
      <xdr:row>0</xdr:row>
      <xdr:rowOff>0</xdr:rowOff>
    </xdr:from>
    <xdr:to>
      <xdr:col>3</xdr:col>
      <xdr:colOff>590550</xdr:colOff>
      <xdr:row>0</xdr:row>
      <xdr:rowOff>0</xdr:rowOff>
    </xdr:to>
    <xdr:graphicFrame macro="">
      <xdr:nvGraphicFramePr>
        <xdr:cNvPr id="26625" name="Gráfico 1">
          <a:extLst>
            <a:ext uri="{FF2B5EF4-FFF2-40B4-BE49-F238E27FC236}">
              <a16:creationId xmlns:a16="http://schemas.microsoft.com/office/drawing/2014/main" id="{00000000-0008-0000-1200-0000016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eus%20Docs/Paulo/Trabalho/201101%20-%20Report%20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quivos%20Recuperados/Meus%20Docs/MBA/TCC/ExemploProj_AS_AC_SMC_Versao_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romar_nt\Budget\LEDAAR\PROD\KONSERN\REGN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B_CRE_LANCTOS"/>
      <sheetName val="DEB_CRE"/>
      <sheetName val="Tabelas"/>
      <sheetName val="Início"/>
      <sheetName val="BP"/>
      <sheetName val="DRE"/>
      <sheetName val="BV"/>
      <sheetName val="BS_ER"/>
      <sheetName val="IS_ER"/>
      <sheetName val="TDGERAL"/>
      <sheetName val="TDBVIFS"/>
      <sheetName val="IS_ER_Monthly(R$)."/>
      <sheetName val="IS_ER_Monthly(NOK)."/>
      <sheetName val="MPL"/>
      <sheetName val="EQUITY"/>
      <sheetName val="Ajustes SOCI IFRS - R$"/>
      <sheetName val="Ajustes SAD - Nok"/>
      <sheetName val="BP evolutivo"/>
      <sheetName val="DRE evolutivo"/>
      <sheetName val="Reconcilation EQ"/>
      <sheetName val="Reconciliation EQER"/>
      <sheetName val="BP MF"/>
      <sheetName val="DRE MF"/>
      <sheetName val="DRE Fiscal +Navios"/>
      <sheetName val="Controle"/>
      <sheetName val="Resumo"/>
      <sheetName val="pc"/>
      <sheetName val="Taxas ER"/>
      <sheetName val="p.i"/>
      <sheetName val="BP g"/>
      <sheetName val="DRE g"/>
      <sheetName val="DOAR"/>
      <sheetName val="FC"/>
      <sheetName val="Desempenho"/>
      <sheetName val="Gráficos 2006"/>
      <sheetName val="201101 - Report 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blema"/>
      <sheetName val="Projeto"/>
      <sheetName val="AS"/>
      <sheetName val="AC"/>
      <sheetName val="Resumo do cenário"/>
      <sheetName val="SMC"/>
      <sheetName val="Sensibilidade"/>
      <sheetName val="Resumo do cenário 2"/>
      <sheetName val="Cenario"/>
      <sheetName val="SMC2"/>
      <sheetName val="planilha"/>
    </sheetNames>
    <sheetDataSet>
      <sheetData sheetId="0"/>
      <sheetData sheetId="1"/>
      <sheetData sheetId="2"/>
      <sheetData sheetId="3">
        <row r="3">
          <cell r="B3">
            <v>40000</v>
          </cell>
        </row>
        <row r="7">
          <cell r="B7">
            <v>0.25</v>
          </cell>
        </row>
        <row r="15">
          <cell r="C15">
            <v>32000</v>
          </cell>
          <cell r="D15">
            <v>33000</v>
          </cell>
          <cell r="E15">
            <v>36000</v>
          </cell>
          <cell r="F15">
            <v>36000</v>
          </cell>
          <cell r="G15">
            <v>36000</v>
          </cell>
        </row>
        <row r="29">
          <cell r="C29">
            <v>6740.5645472903052</v>
          </cell>
        </row>
        <row r="30">
          <cell r="C30">
            <v>0.20707431669057538</v>
          </cell>
        </row>
      </sheetData>
      <sheetData sheetId="4"/>
      <sheetData sheetId="5"/>
      <sheetData sheetId="6"/>
      <sheetData sheetId="7"/>
      <sheetData sheetId="8">
        <row r="2">
          <cell r="B2">
            <v>40000</v>
          </cell>
        </row>
        <row r="13">
          <cell r="C13">
            <v>1000</v>
          </cell>
          <cell r="D13">
            <v>1000</v>
          </cell>
          <cell r="E13">
            <v>1000</v>
          </cell>
          <cell r="F13">
            <v>1000</v>
          </cell>
          <cell r="G13">
            <v>1000</v>
          </cell>
        </row>
      </sheetData>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Regn.A-kons."/>
      <sheetName val="Bal3112.A-kons."/>
      <sheetName val="Kont.a.A-kons."/>
      <sheetName val="Note 1-3"/>
      <sheetName val="Note 4-10"/>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sheetPr>
  <dimension ref="A1:AQ49"/>
  <sheetViews>
    <sheetView showGridLines="0" showRowColHeaders="0" workbookViewId="0">
      <pane xSplit="19" ySplit="26" topLeftCell="T27" activePane="bottomRight" state="frozen"/>
      <selection activeCell="D10" sqref="D10"/>
      <selection pane="topRight" activeCell="D10" sqref="D10"/>
      <selection pane="bottomLeft" activeCell="D10" sqref="D10"/>
      <selection pane="bottomRight" activeCell="D10" sqref="D10"/>
    </sheetView>
  </sheetViews>
  <sheetFormatPr defaultColWidth="0" defaultRowHeight="12.75" customHeight="1" zeroHeight="1"/>
  <cols>
    <col min="1" max="6" width="9.109375" style="331" customWidth="1"/>
    <col min="7" max="7" width="10.88671875" style="331" customWidth="1"/>
    <col min="8" max="8" width="8.6640625" style="331" bestFit="1" customWidth="1"/>
    <col min="9" max="9" width="5.5546875" style="331" bestFit="1" customWidth="1"/>
    <col min="10" max="15" width="10.6640625" style="331" bestFit="1" customWidth="1"/>
    <col min="16" max="20" width="10.6640625" style="331" customWidth="1"/>
    <col min="21" max="21" width="13.33203125" style="331" hidden="1" customWidth="1"/>
    <col min="22" max="22" width="14.109375" style="331" hidden="1" customWidth="1" collapsed="1"/>
    <col min="23" max="26" width="10.6640625" style="331" hidden="1" customWidth="1"/>
    <col min="27" max="27" width="5" style="331" hidden="1" customWidth="1"/>
    <col min="28" max="38" width="13.88671875" style="331" hidden="1" customWidth="1"/>
    <col min="39" max="39" width="15.33203125" style="331" hidden="1" customWidth="1"/>
    <col min="40" max="41" width="9.109375" style="331" hidden="1" customWidth="1"/>
    <col min="42" max="43" width="15.33203125" style="331" hidden="1" customWidth="1"/>
    <col min="44" max="16384" width="9.109375" style="331" hidden="1"/>
  </cols>
  <sheetData>
    <row r="1" spans="1:28" ht="13.8"/>
    <row r="2" spans="1:28" ht="13.8"/>
    <row r="3" spans="1:28" ht="13.8"/>
    <row r="4" spans="1:28" ht="13.8"/>
    <row r="5" spans="1:28" ht="13.8"/>
    <row r="6" spans="1:28" ht="14.4" thickBot="1"/>
    <row r="7" spans="1:28" s="336" customFormat="1" ht="13.8">
      <c r="A7" s="331"/>
      <c r="B7" s="331"/>
      <c r="C7" s="331"/>
      <c r="D7" s="331"/>
      <c r="E7" s="331"/>
      <c r="F7" s="331"/>
      <c r="G7" s="332"/>
      <c r="H7" s="333"/>
      <c r="I7" s="333"/>
      <c r="J7" s="333"/>
      <c r="K7" s="333"/>
      <c r="L7" s="333"/>
      <c r="M7" s="334"/>
      <c r="N7" s="331"/>
      <c r="O7" s="331"/>
      <c r="P7" s="331"/>
      <c r="Q7" s="331"/>
      <c r="R7" s="331"/>
      <c r="S7" s="331"/>
      <c r="T7" s="331"/>
      <c r="U7" s="335"/>
      <c r="V7" s="335"/>
      <c r="W7" s="335"/>
      <c r="X7" s="335"/>
    </row>
    <row r="8" spans="1:28" s="336" customFormat="1" ht="13.8">
      <c r="A8" s="331"/>
      <c r="B8" s="331"/>
      <c r="C8" s="331"/>
      <c r="D8" s="331"/>
      <c r="E8" s="331"/>
      <c r="F8" s="331"/>
      <c r="G8" s="337"/>
      <c r="H8" s="335"/>
      <c r="I8" s="335"/>
      <c r="J8" s="335"/>
      <c r="K8" s="335"/>
      <c r="L8" s="335"/>
      <c r="M8" s="338"/>
      <c r="N8" s="331"/>
      <c r="O8" s="331"/>
      <c r="P8" s="331"/>
      <c r="Q8" s="331"/>
      <c r="R8" s="331"/>
      <c r="S8" s="331"/>
      <c r="T8" s="331"/>
      <c r="U8" s="335"/>
      <c r="V8" s="335"/>
      <c r="W8" s="335"/>
      <c r="X8" s="335"/>
    </row>
    <row r="9" spans="1:28" s="336" customFormat="1" ht="21.75" customHeight="1" thickBot="1">
      <c r="A9" s="331"/>
      <c r="B9" s="331"/>
      <c r="C9" s="331"/>
      <c r="D9" s="331"/>
      <c r="E9" s="331"/>
      <c r="F9" s="331"/>
      <c r="G9" s="337"/>
      <c r="H9" s="339" t="str">
        <f>IF(J13=1,"Ano","Year")</f>
        <v>Ano</v>
      </c>
      <c r="I9" s="340"/>
      <c r="J9" s="339" t="str">
        <f>IF(J13=1,"Mês","Month")</f>
        <v>Mês</v>
      </c>
      <c r="K9" s="341"/>
      <c r="L9" s="339" t="str">
        <f>IF(J13=1,"Período","Date")</f>
        <v>Período</v>
      </c>
      <c r="M9" s="342"/>
      <c r="N9" s="331"/>
      <c r="O9" s="331"/>
      <c r="P9" s="331"/>
      <c r="Q9" s="331"/>
      <c r="R9" s="331"/>
      <c r="S9" s="331"/>
      <c r="T9" s="331"/>
      <c r="U9" s="335"/>
      <c r="V9" s="335"/>
      <c r="W9" s="335"/>
      <c r="X9" s="335"/>
    </row>
    <row r="10" spans="1:28" s="336" customFormat="1" ht="21.75" customHeight="1" thickBot="1">
      <c r="A10" s="331"/>
      <c r="B10" s="331"/>
      <c r="C10" s="331"/>
      <c r="D10" s="331"/>
      <c r="E10" s="331"/>
      <c r="F10" s="331"/>
      <c r="G10" s="337"/>
      <c r="H10" s="343">
        <v>2014</v>
      </c>
      <c r="I10" s="335"/>
      <c r="J10" s="344">
        <v>1</v>
      </c>
      <c r="K10" s="335"/>
      <c r="L10" s="345">
        <f>DATE(YEAR(Início!$J$43),$J$10,IF(OR($J$10=1,$J$10=3,$J$10=5,$J$10=7,$J$10=8,$J$10=10,$J$10=12),31,IF(OR($J$10=4,$J$10=6,$J$10=9,$J$10=11),30,IF(DATE(YEAR(Início!$J$43),12,31)-DATE(YEAR(Início!$J$43),1,1)=365,29,28))))</f>
        <v>41670</v>
      </c>
      <c r="M10" s="338"/>
      <c r="N10" s="331"/>
      <c r="O10" s="331"/>
      <c r="P10" s="331"/>
      <c r="Q10" s="331"/>
      <c r="R10" s="331"/>
      <c r="S10" s="331"/>
      <c r="T10" s="331"/>
      <c r="U10" s="335"/>
      <c r="V10" s="335"/>
      <c r="W10" s="335"/>
      <c r="X10" s="335"/>
    </row>
    <row r="11" spans="1:28" s="336" customFormat="1" ht="21.75" customHeight="1">
      <c r="A11" s="331"/>
      <c r="B11" s="331"/>
      <c r="C11" s="331"/>
      <c r="D11" s="331"/>
      <c r="E11" s="331"/>
      <c r="F11" s="331"/>
      <c r="G11" s="337"/>
      <c r="H11" s="335"/>
      <c r="I11" s="335"/>
      <c r="J11" s="335"/>
      <c r="K11" s="335"/>
      <c r="L11" s="346"/>
      <c r="M11" s="347"/>
      <c r="N11" s="331"/>
      <c r="O11" s="331"/>
      <c r="P11" s="331"/>
      <c r="Q11" s="331"/>
      <c r="R11" s="331"/>
      <c r="S11" s="331"/>
      <c r="T11" s="331"/>
      <c r="U11" s="335"/>
      <c r="V11" s="335"/>
      <c r="W11" s="335"/>
      <c r="X11" s="335"/>
      <c r="AB11" s="348"/>
    </row>
    <row r="12" spans="1:28" s="336" customFormat="1" ht="18">
      <c r="A12" s="331"/>
      <c r="B12" s="331"/>
      <c r="C12" s="331"/>
      <c r="D12" s="331"/>
      <c r="E12" s="331"/>
      <c r="F12" s="331"/>
      <c r="G12" s="337"/>
      <c r="H12" s="335"/>
      <c r="I12" s="335"/>
      <c r="J12" s="349" t="str">
        <f>IF(J13=1,"Idioma","Language")</f>
        <v>Idioma</v>
      </c>
      <c r="K12" s="350"/>
      <c r="L12" s="351" t="str">
        <f>IF(J13=1,"Moeda","Currency")</f>
        <v>Moeda</v>
      </c>
      <c r="M12" s="352"/>
      <c r="N12" s="331"/>
      <c r="O12" s="331"/>
      <c r="P12" s="331"/>
      <c r="Q12" s="331"/>
      <c r="R12" s="331"/>
      <c r="S12" s="331"/>
      <c r="T12" s="331"/>
      <c r="U12" s="335"/>
      <c r="V12" s="335"/>
      <c r="W12" s="335"/>
      <c r="X12" s="335"/>
    </row>
    <row r="13" spans="1:28" s="336" customFormat="1" ht="23.25" customHeight="1">
      <c r="A13" s="331"/>
      <c r="B13" s="331"/>
      <c r="C13" s="331"/>
      <c r="D13" s="331"/>
      <c r="E13" s="331"/>
      <c r="F13" s="331"/>
      <c r="G13" s="337"/>
      <c r="H13" s="335"/>
      <c r="I13" s="335"/>
      <c r="J13" s="353">
        <v>1</v>
      </c>
      <c r="K13" s="335"/>
      <c r="L13" s="354">
        <v>1</v>
      </c>
      <c r="M13" s="347"/>
      <c r="N13" s="331"/>
      <c r="O13" s="331"/>
      <c r="P13" s="331"/>
      <c r="Q13" s="331"/>
      <c r="R13" s="331"/>
      <c r="S13" s="331"/>
      <c r="T13" s="331"/>
      <c r="U13" s="335"/>
      <c r="V13" s="335"/>
      <c r="W13" s="335"/>
      <c r="X13" s="335"/>
    </row>
    <row r="14" spans="1:28" s="336" customFormat="1" ht="12.75" customHeight="1">
      <c r="A14" s="331"/>
      <c r="B14" s="331"/>
      <c r="C14" s="331"/>
      <c r="D14" s="331"/>
      <c r="E14" s="331"/>
      <c r="F14" s="331"/>
      <c r="G14" s="337"/>
      <c r="H14" s="335"/>
      <c r="I14" s="335"/>
      <c r="J14" s="335"/>
      <c r="K14" s="335"/>
      <c r="L14" s="346"/>
      <c r="M14" s="347"/>
      <c r="N14" s="331"/>
      <c r="O14" s="331"/>
      <c r="P14" s="331"/>
      <c r="Q14" s="331"/>
      <c r="R14" s="331"/>
      <c r="S14" s="331"/>
      <c r="T14" s="331"/>
      <c r="U14" s="335"/>
      <c r="V14" s="335"/>
      <c r="W14" s="335"/>
      <c r="X14" s="335"/>
    </row>
    <row r="15" spans="1:28" s="336" customFormat="1" ht="12.75" customHeight="1">
      <c r="A15" s="331"/>
      <c r="B15" s="331"/>
      <c r="C15" s="331"/>
      <c r="D15" s="331"/>
      <c r="E15" s="331"/>
      <c r="F15" s="331"/>
      <c r="G15" s="337"/>
      <c r="H15" s="335"/>
      <c r="I15" s="335"/>
      <c r="J15" s="335"/>
      <c r="K15" s="335"/>
      <c r="L15" s="335"/>
      <c r="M15" s="338"/>
      <c r="N15" s="331"/>
      <c r="O15" s="331"/>
      <c r="P15" s="331"/>
      <c r="Q15" s="331"/>
      <c r="R15" s="331"/>
      <c r="S15" s="331"/>
      <c r="T15" s="331"/>
      <c r="U15" s="335"/>
      <c r="V15" s="335"/>
      <c r="W15" s="335"/>
      <c r="X15" s="335"/>
    </row>
    <row r="16" spans="1:28" s="336" customFormat="1" ht="12.75" customHeight="1">
      <c r="A16" s="331"/>
      <c r="B16" s="331"/>
      <c r="C16" s="331"/>
      <c r="D16" s="331"/>
      <c r="E16" s="331"/>
      <c r="F16" s="331"/>
      <c r="G16" s="355"/>
      <c r="H16" s="356"/>
      <c r="I16" s="356"/>
      <c r="J16" s="356"/>
      <c r="K16" s="356"/>
      <c r="L16" s="356"/>
      <c r="M16" s="357"/>
      <c r="N16" s="331"/>
      <c r="O16" s="331"/>
      <c r="P16" s="331"/>
      <c r="Q16" s="331"/>
      <c r="R16" s="331"/>
      <c r="S16" s="331"/>
      <c r="T16" s="331"/>
      <c r="U16" s="335"/>
      <c r="V16" s="335"/>
      <c r="W16" s="335"/>
      <c r="X16" s="335"/>
    </row>
    <row r="17" ht="12.75" customHeight="1"/>
    <row r="18" ht="12.75" customHeight="1"/>
    <row r="19" ht="12.75" customHeight="1"/>
    <row r="20" ht="12.75" customHeight="1"/>
    <row r="21" ht="12.75" customHeight="1"/>
    <row r="22" ht="22.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spans="8:33" ht="12.75" customHeight="1"/>
    <row r="34" spans="8:33" ht="12.75" customHeight="1"/>
    <row r="35" spans="8:33" ht="12.75" customHeight="1"/>
    <row r="36" spans="8:33" ht="12.75" customHeight="1"/>
    <row r="37" spans="8:33" ht="12.75" customHeight="1"/>
    <row r="38" spans="8:33" ht="12.75" customHeight="1"/>
    <row r="40" spans="8:33" ht="12.75" hidden="1" customHeight="1">
      <c r="AB40" s="358"/>
      <c r="AC40" s="358"/>
      <c r="AD40" s="358"/>
      <c r="AE40" s="358"/>
      <c r="AF40" s="358"/>
      <c r="AG40" s="358"/>
    </row>
    <row r="43" spans="8:33" ht="13.8" hidden="1">
      <c r="H43" s="359" t="s">
        <v>347</v>
      </c>
      <c r="I43" s="360">
        <f>DATE(H10-1,12,31)</f>
        <v>41639</v>
      </c>
      <c r="J43" s="361">
        <f>DATE(YEAR(I43)+1,1,31)</f>
        <v>41670</v>
      </c>
      <c r="K43" s="361">
        <f>DATE(YEAR(J43),MONTH(J43)+1,IF(OR(MONTH(J43)+1=3,MONTH(J43)+1=5,MONTH(J43)+1=7,MONTH(J43)+1=8,MONTH(J43)+1=10,MONTH(J43)+1=12),31,IF(OR(MONTH(J43)+1=4,MONTH(J43)+1=6,MONTH(J43)+1=9,MONTH(J43)+1=11),30,IF(DATE(YEAR(J43),12,31)-DATE(YEAR(J43),MONTH(J43),1)=365,29,28))))</f>
        <v>41698</v>
      </c>
      <c r="L43" s="361">
        <f>DATE(YEAR(K43),MONTH(K43)+1,IF(OR(MONTH(K43)+1=3,MONTH(K43)+1=5,MONTH(K43)+1=7,MONTH(K43)+1=8,MONTH(K43)+1=10,MONTH(K43)+1=12),31,IF(OR(MONTH(K43)+1=4,MONTH(K43)+1=6,MONTH(K43)+1=9,MONTH(K43)+1=11),30,IF(DATE(YEAR(K43),12,31)-DATE(YEAR(K43),MONTH(K43),1)=365,29,28))))</f>
        <v>41729</v>
      </c>
      <c r="M43" s="361">
        <f>DATE(YEAR(L43),MONTH(L43)+1,IF(OR(MONTH(L43)+1=3,MONTH(L43)+1=5,MONTH(L43)+1=7,MONTH(L43)+1=8,MONTH(L43)+1=10,MONTH(L43)+1=12),31,IF(OR(MONTH(L43)+1=4,MONTH(L43)+1=6,MONTH(L43)+1=9,MONTH(L43)+1=11),30,IF(DATE(YEAR(L43),12,31)-DATE(YEAR(L43),MONTH(L43),1)=365,29,28))))</f>
        <v>41759</v>
      </c>
      <c r="N43" s="361">
        <f>DATE(YEAR(M43),MONTH(M43)+1,IF(OR(MONTH(M43)+1=3,MONTH(M43)+1=5,MONTH(M43)+1=7,MONTH(M43)+1=8,MONTH(M43)+1=10,MONTH(M43)+1=12),31,IF(OR(MONTH(M43)+1=4,MONTH(M43)+1=6,MONTH(M43)+1=9,MONTH(M43)+1=11),30,IF(DATE(YEAR(M43),12,31)-DATE(YEAR(M43),MONTH(M43),1)=365,29,28))))</f>
        <v>41790</v>
      </c>
      <c r="O43" s="361">
        <f t="shared" ref="O43:AA43" si="0">DATE(YEAR(N43),MONTH(N43)+1,IF(OR(MONTH(N43)+1=3,MONTH(N43)+1=5,MONTH(N43)+1=7,MONTH(N43)+1=8,MONTH(N43)+1=10,MONTH(N43)+1=12),31,IF(OR(MONTH(N43)+1=4,MONTH(N43)+1=6,MONTH(N43)+1=9,MONTH(N43)+1=11),30,IF(DATE(YEAR(N43),12,31)-DATE(YEAR(N43),MONTH(N43),1)=365,29,28))))</f>
        <v>41820</v>
      </c>
      <c r="P43" s="361"/>
      <c r="Q43" s="361"/>
      <c r="R43" s="361"/>
      <c r="S43" s="361"/>
      <c r="T43" s="361"/>
      <c r="U43" s="361">
        <f>DATE(YEAR(O43),MONTH(O43)+1,IF(OR(MONTH(O43)+1=3,MONTH(O43)+1=5,MONTH(O43)+1=7,MONTH(O43)+1=8,MONTH(O43)+1=10,MONTH(O43)+1=12),31,IF(OR(MONTH(O43)+1=4,MONTH(O43)+1=6,MONTH(O43)+1=9,MONTH(O43)+1=11),30,IF(DATE(YEAR(O43),12,31)-DATE(YEAR(O43),MONTH(O43),1)=365,29,28))))</f>
        <v>41851</v>
      </c>
      <c r="V43" s="361">
        <f t="shared" si="0"/>
        <v>41882</v>
      </c>
      <c r="W43" s="361">
        <f t="shared" si="0"/>
        <v>41912</v>
      </c>
      <c r="X43" s="361">
        <f t="shared" si="0"/>
        <v>41943</v>
      </c>
      <c r="Y43" s="361">
        <f t="shared" si="0"/>
        <v>41973</v>
      </c>
      <c r="Z43" s="361">
        <f t="shared" si="0"/>
        <v>42004</v>
      </c>
      <c r="AA43" s="362">
        <f t="shared" si="0"/>
        <v>42032</v>
      </c>
    </row>
    <row r="44" spans="8:33" ht="13.8" hidden="1"/>
    <row r="45" spans="8:33" ht="13.8" hidden="1">
      <c r="M45" s="331" t="s">
        <v>348</v>
      </c>
    </row>
    <row r="46" spans="8:33" ht="13.8" hidden="1">
      <c r="M46" s="331" t="s">
        <v>349</v>
      </c>
    </row>
    <row r="47" spans="8:33" ht="13.8" hidden="1"/>
    <row r="48" spans="8:33" ht="13.8" hidden="1">
      <c r="M48" s="331" t="s">
        <v>350</v>
      </c>
    </row>
    <row r="49" spans="13:13" ht="13.8" hidden="1">
      <c r="M49" s="331" t="s">
        <v>351</v>
      </c>
    </row>
  </sheetData>
  <sheetProtection sheet="1" objects="1" scenarios="1" selectLockedCells="1" selectUnlockedCells="1"/>
  <dataValidations count="2">
    <dataValidation type="whole" showInputMessage="1" showErrorMessage="1" sqref="H10" xr:uid="{00000000-0002-0000-0000-000000000000}">
      <formula1>2008</formula1>
      <formula2>2050</formula2>
    </dataValidation>
    <dataValidation type="whole" showInputMessage="1" showErrorMessage="1" sqref="J10" xr:uid="{00000000-0002-0000-0000-000001000000}">
      <formula1>1</formula1>
      <formula2>12</formula2>
    </dataValidation>
  </dataValidations>
  <pageMargins left="0.511811024" right="0.511811024" top="0.78740157499999996" bottom="0.78740157499999996" header="0.31496062000000002" footer="0.31496062000000002"/>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5057" r:id="rId4" name="Spinner 1">
              <controlPr defaultSize="0" print="0" autoPict="0">
                <anchor moveWithCells="1" sizeWithCells="1">
                  <from>
                    <xdr:col>8</xdr:col>
                    <xdr:colOff>38100</xdr:colOff>
                    <xdr:row>9</xdr:row>
                    <xdr:rowOff>0</xdr:rowOff>
                  </from>
                  <to>
                    <xdr:col>8</xdr:col>
                    <xdr:colOff>198120</xdr:colOff>
                    <xdr:row>9</xdr:row>
                    <xdr:rowOff>259080</xdr:rowOff>
                  </to>
                </anchor>
              </controlPr>
            </control>
          </mc:Choice>
        </mc:AlternateContent>
        <mc:AlternateContent xmlns:mc="http://schemas.openxmlformats.org/markup-compatibility/2006">
          <mc:Choice Requires="x14">
            <control shapeId="45058" r:id="rId5" name="Spinner 2">
              <controlPr defaultSize="0" print="0" autoPict="0">
                <anchor moveWithCells="1" sizeWithCells="1">
                  <from>
                    <xdr:col>10</xdr:col>
                    <xdr:colOff>38100</xdr:colOff>
                    <xdr:row>9</xdr:row>
                    <xdr:rowOff>7620</xdr:rowOff>
                  </from>
                  <to>
                    <xdr:col>10</xdr:col>
                    <xdr:colOff>198120</xdr:colOff>
                    <xdr:row>9</xdr:row>
                    <xdr:rowOff>251460</xdr:rowOff>
                  </to>
                </anchor>
              </controlPr>
            </control>
          </mc:Choice>
        </mc:AlternateContent>
        <mc:AlternateContent xmlns:mc="http://schemas.openxmlformats.org/markup-compatibility/2006">
          <mc:Choice Requires="x14">
            <control shapeId="45059" r:id="rId6" name="Drop Down 3">
              <controlPr defaultSize="0" autoLine="0" autoPict="0">
                <anchor moveWithCells="1">
                  <from>
                    <xdr:col>9</xdr:col>
                    <xdr:colOff>60960</xdr:colOff>
                    <xdr:row>12</xdr:row>
                    <xdr:rowOff>76200</xdr:rowOff>
                  </from>
                  <to>
                    <xdr:col>10</xdr:col>
                    <xdr:colOff>236220</xdr:colOff>
                    <xdr:row>12</xdr:row>
                    <xdr:rowOff>236220</xdr:rowOff>
                  </to>
                </anchor>
              </controlPr>
            </control>
          </mc:Choice>
        </mc:AlternateContent>
        <mc:AlternateContent xmlns:mc="http://schemas.openxmlformats.org/markup-compatibility/2006">
          <mc:Choice Requires="x14">
            <control shapeId="45060" r:id="rId7" name="Drop Down 4">
              <controlPr defaultSize="0" autoLine="0" autoPict="0">
                <anchor moveWithCells="1">
                  <from>
                    <xdr:col>11</xdr:col>
                    <xdr:colOff>30480</xdr:colOff>
                    <xdr:row>12</xdr:row>
                    <xdr:rowOff>76200</xdr:rowOff>
                  </from>
                  <to>
                    <xdr:col>12</xdr:col>
                    <xdr:colOff>0</xdr:colOff>
                    <xdr:row>12</xdr:row>
                    <xdr:rowOff>236220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D10" sqref="D10"/>
    </sheetView>
  </sheetViews>
  <sheetFormatPr defaultRowHeight="13.2"/>
  <sheetData/>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indexed="50"/>
  </sheetPr>
  <dimension ref="B1:B16"/>
  <sheetViews>
    <sheetView showGridLines="0" workbookViewId="0">
      <selection activeCell="B3" sqref="B3"/>
    </sheetView>
  </sheetViews>
  <sheetFormatPr defaultRowHeight="13.2"/>
  <cols>
    <col min="2" max="2" width="43.5546875" bestFit="1" customWidth="1"/>
  </cols>
  <sheetData>
    <row r="1" spans="2:2" ht="17.399999999999999">
      <c r="B1" s="256" t="s">
        <v>315</v>
      </c>
    </row>
    <row r="3" spans="2:2" ht="24" customHeight="1">
      <c r="B3" s="394" t="s">
        <v>301</v>
      </c>
    </row>
    <row r="4" spans="2:2" ht="24" customHeight="1">
      <c r="B4" s="394" t="s">
        <v>302</v>
      </c>
    </row>
    <row r="5" spans="2:2" ht="24" customHeight="1">
      <c r="B5" s="394" t="s">
        <v>303</v>
      </c>
    </row>
    <row r="6" spans="2:2" ht="24" customHeight="1">
      <c r="B6" s="394" t="s">
        <v>304</v>
      </c>
    </row>
    <row r="7" spans="2:2" ht="24" customHeight="1">
      <c r="B7" s="394" t="s">
        <v>305</v>
      </c>
    </row>
    <row r="8" spans="2:2" ht="24" customHeight="1">
      <c r="B8" s="394" t="s">
        <v>306</v>
      </c>
    </row>
    <row r="9" spans="2:2" ht="24" customHeight="1">
      <c r="B9" s="394" t="s">
        <v>307</v>
      </c>
    </row>
    <row r="10" spans="2:2" ht="24" customHeight="1">
      <c r="B10" s="394" t="s">
        <v>308</v>
      </c>
    </row>
    <row r="11" spans="2:2" ht="24" customHeight="1">
      <c r="B11" s="394" t="s">
        <v>309</v>
      </c>
    </row>
    <row r="12" spans="2:2" ht="24" customHeight="1">
      <c r="B12" s="394" t="s">
        <v>310</v>
      </c>
    </row>
    <row r="13" spans="2:2" ht="24" customHeight="1">
      <c r="B13" s="394" t="s">
        <v>311</v>
      </c>
    </row>
    <row r="14" spans="2:2" ht="24" customHeight="1">
      <c r="B14" s="394" t="s">
        <v>312</v>
      </c>
    </row>
    <row r="15" spans="2:2" ht="24" customHeight="1">
      <c r="B15" s="394" t="s">
        <v>313</v>
      </c>
    </row>
    <row r="16" spans="2:2" ht="24" customHeight="1">
      <c r="B16" s="394" t="s">
        <v>314</v>
      </c>
    </row>
  </sheetData>
  <phoneticPr fontId="47" type="noConversion"/>
  <hyperlinks>
    <hyperlink ref="B3" location="'1-Introdução'!A1" display="1 - Introdução" xr:uid="{00000000-0004-0000-0200-000000000000}"/>
    <hyperlink ref="B5" location="'3-Balanço'!A1" display="3 - Balanço Patrimonial" xr:uid="{00000000-0004-0000-0200-000001000000}"/>
    <hyperlink ref="B4" location="'2-Premissas'!A1" display="2 - Premissas" xr:uid="{00000000-0004-0000-0200-000002000000}"/>
    <hyperlink ref="B6" location="'4-DRE'!A1" display="4 - Demonstração de Resultados do Exercício" xr:uid="{00000000-0004-0000-0200-000003000000}"/>
    <hyperlink ref="B7" location="'5-FC'!A1" display="5 - Fluxo de Caixa" xr:uid="{00000000-0004-0000-0200-000004000000}"/>
    <hyperlink ref="B8" location="'6-Desempenho'!A1" display="6 - Indicadores de Desempenho" xr:uid="{00000000-0004-0000-0200-000005000000}"/>
    <hyperlink ref="B9" location="'7-Cálculos'!A1" display="7 - Cálculos" xr:uid="{00000000-0004-0000-0200-000006000000}"/>
    <hyperlink ref="B10" location="'8-Investimentos'!A1" display="8 - Investimentos" xr:uid="{00000000-0004-0000-0200-000007000000}"/>
    <hyperlink ref="B11" location="'9-Financiamentos'!A1" display="9 - Financiamentos" xr:uid="{00000000-0004-0000-0200-000008000000}"/>
    <hyperlink ref="B12" location="'10-FCLE'!A1" display="10 - Fluxo de Caixa Livre da Empresa" xr:uid="{00000000-0004-0000-0200-000009000000}"/>
    <hyperlink ref="B13" location="'11-FCLA'!A1" display="11 - Fluxo de Caixa Livre do Acionista" xr:uid="{00000000-0004-0000-0200-00000A000000}"/>
    <hyperlink ref="B14" location="'12-Analise Relativa'!A1" display="12 - Análise Relativa" xr:uid="{00000000-0004-0000-0200-00000B000000}"/>
    <hyperlink ref="B15" location="'13-Ciclo'!A1" display="13 - Ciclo Econômico" xr:uid="{00000000-0004-0000-0200-00000C000000}"/>
    <hyperlink ref="B16" location="'14-Gráficos'!A1" display="14 - Gráficos" xr:uid="{00000000-0004-0000-0200-00000D000000}"/>
  </hyperlinks>
  <pageMargins left="0.78740157499999996" right="0.78740157499999996" top="0.984251969" bottom="0.984251969" header="0.49212598499999999" footer="0.49212598499999999"/>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16"/>
    <pageSetUpPr fitToPage="1"/>
  </sheetPr>
  <dimension ref="A1:A40"/>
  <sheetViews>
    <sheetView showGridLines="0" topLeftCell="A26" zoomScaleNormal="100" workbookViewId="0"/>
  </sheetViews>
  <sheetFormatPr defaultRowHeight="13.2"/>
  <cols>
    <col min="1" max="1" width="147" bestFit="1" customWidth="1"/>
  </cols>
  <sheetData>
    <row r="1" spans="1:1">
      <c r="A1" s="393" t="s">
        <v>353</v>
      </c>
    </row>
    <row r="3" spans="1:1">
      <c r="A3" s="237" t="s">
        <v>288</v>
      </c>
    </row>
    <row r="5" spans="1:1" ht="92.4">
      <c r="A5" s="238" t="s">
        <v>300</v>
      </c>
    </row>
    <row r="8" spans="1:1">
      <c r="A8" s="239" t="s">
        <v>150</v>
      </c>
    </row>
    <row r="10" spans="1:1" ht="92.4">
      <c r="A10" s="240" t="s">
        <v>289</v>
      </c>
    </row>
    <row r="13" spans="1:1">
      <c r="A13" s="239" t="s">
        <v>290</v>
      </c>
    </row>
    <row r="14" spans="1:1">
      <c r="A14" s="237"/>
    </row>
    <row r="15" spans="1:1" ht="26.4">
      <c r="A15" s="240" t="s">
        <v>291</v>
      </c>
    </row>
    <row r="18" spans="1:1">
      <c r="A18" s="239" t="s">
        <v>211</v>
      </c>
    </row>
    <row r="20" spans="1:1" ht="26.4">
      <c r="A20" s="240" t="s">
        <v>292</v>
      </c>
    </row>
    <row r="23" spans="1:1">
      <c r="A23" s="239" t="s">
        <v>293</v>
      </c>
    </row>
    <row r="24" spans="1:1">
      <c r="A24" s="239"/>
    </row>
    <row r="25" spans="1:1">
      <c r="A25" s="240" t="s">
        <v>294</v>
      </c>
    </row>
    <row r="28" spans="1:1">
      <c r="A28" s="239" t="s">
        <v>295</v>
      </c>
    </row>
    <row r="29" spans="1:1">
      <c r="A29" s="239"/>
    </row>
    <row r="30" spans="1:1" ht="39.6">
      <c r="A30" s="240" t="s">
        <v>296</v>
      </c>
    </row>
    <row r="33" spans="1:1">
      <c r="A33" s="239" t="s">
        <v>297</v>
      </c>
    </row>
    <row r="34" spans="1:1">
      <c r="A34" s="239"/>
    </row>
    <row r="35" spans="1:1" ht="26.4">
      <c r="A35" s="240" t="s">
        <v>298</v>
      </c>
    </row>
    <row r="38" spans="1:1">
      <c r="A38" s="239" t="s">
        <v>299</v>
      </c>
    </row>
    <row r="40" spans="1:1" ht="26.4">
      <c r="A40" s="240" t="s">
        <v>337</v>
      </c>
    </row>
  </sheetData>
  <phoneticPr fontId="0" type="noConversion"/>
  <hyperlinks>
    <hyperlink ref="A1" location="Índice!A1" display="Voltar" xr:uid="{00000000-0004-0000-0300-000000000000}"/>
  </hyperlinks>
  <pageMargins left="0.43307086614173229" right="0.39370078740157483" top="0.98425196850393704" bottom="0.98425196850393704" header="0.51181102362204722" footer="0.51181102362204722"/>
  <pageSetup paperSize="9" scale="6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58"/>
    <pageSetUpPr fitToPage="1"/>
  </sheetPr>
  <dimension ref="B1:P84"/>
  <sheetViews>
    <sheetView tabSelected="1" zoomScale="85" workbookViewId="0">
      <pane xSplit="2" ySplit="3" topLeftCell="C54" activePane="bottomRight" state="frozen"/>
      <selection activeCell="D10" sqref="D10"/>
      <selection pane="topRight" activeCell="D10" sqref="D10"/>
      <selection pane="bottomLeft" activeCell="D10" sqref="D10"/>
      <selection pane="bottomRight" activeCell="C6" sqref="C6"/>
    </sheetView>
  </sheetViews>
  <sheetFormatPr defaultColWidth="8.88671875" defaultRowHeight="13.8"/>
  <cols>
    <col min="1" max="1" width="3" style="74" customWidth="1"/>
    <col min="2" max="2" width="55.6640625" style="74" customWidth="1"/>
    <col min="3" max="15" width="9.109375" style="74" customWidth="1"/>
    <col min="16" max="16384" width="8.88671875" style="74"/>
  </cols>
  <sheetData>
    <row r="1" spans="2:16">
      <c r="B1" s="393" t="s">
        <v>353</v>
      </c>
    </row>
    <row r="2" spans="2:16" ht="19.2" thickBot="1">
      <c r="B2" s="84" t="s">
        <v>123</v>
      </c>
    </row>
    <row r="3" spans="2:16">
      <c r="C3" s="82">
        <f>+'3-Balanço'!E5</f>
        <v>42369</v>
      </c>
      <c r="D3" s="82">
        <f>+'3-Balanço'!F5</f>
        <v>42735</v>
      </c>
      <c r="E3" s="82">
        <f>+'3-Balanço'!G5</f>
        <v>43100</v>
      </c>
      <c r="F3" s="82">
        <f>+'3-Balanço'!H5</f>
        <v>43465</v>
      </c>
      <c r="G3" s="82">
        <f>+'3-Balanço'!I5</f>
        <v>43830</v>
      </c>
      <c r="H3" s="82">
        <f>+'3-Balanço'!J5</f>
        <v>44196</v>
      </c>
      <c r="I3" s="82">
        <f>+'3-Balanço'!K5</f>
        <v>44561</v>
      </c>
      <c r="J3" s="82">
        <f>+'3-Balanço'!L5</f>
        <v>44926</v>
      </c>
      <c r="K3" s="82">
        <f>+'3-Balanço'!M5</f>
        <v>45291</v>
      </c>
      <c r="L3" s="82">
        <f>+'3-Balanço'!N5</f>
        <v>45657</v>
      </c>
      <c r="M3" s="82">
        <f>+'3-Balanço'!O5</f>
        <v>46022</v>
      </c>
      <c r="N3" s="82">
        <f>+'3-Balanço'!P5</f>
        <v>46387</v>
      </c>
      <c r="O3" s="82">
        <f>+'3-Balanço'!Q5</f>
        <v>46752</v>
      </c>
    </row>
    <row r="4" spans="2:16" ht="18.600000000000001">
      <c r="B4" s="84" t="s">
        <v>354</v>
      </c>
    </row>
    <row r="5" spans="2:16" ht="18.600000000000001">
      <c r="B5" s="84"/>
    </row>
    <row r="6" spans="2:16" ht="18.600000000000001">
      <c r="B6" s="84" t="s">
        <v>124</v>
      </c>
      <c r="C6" s="80"/>
      <c r="D6" s="80"/>
      <c r="E6" s="80"/>
      <c r="F6" s="80"/>
      <c r="G6" s="80"/>
      <c r="H6" s="80"/>
      <c r="I6" s="80"/>
      <c r="J6" s="80"/>
      <c r="K6" s="80"/>
      <c r="L6" s="80"/>
      <c r="M6" s="80"/>
      <c r="N6" s="80"/>
      <c r="O6" s="80"/>
    </row>
    <row r="7" spans="2:16">
      <c r="B7" s="81" t="s">
        <v>41</v>
      </c>
      <c r="C7" s="119">
        <v>0.11</v>
      </c>
      <c r="D7" s="119">
        <v>7.9100000000000004E-2</v>
      </c>
      <c r="E7" s="119">
        <v>0.11600000000000001</v>
      </c>
      <c r="F7" s="119">
        <v>0.1</v>
      </c>
      <c r="G7" s="119">
        <v>0.1</v>
      </c>
      <c r="H7" s="119">
        <f>G7</f>
        <v>0.1</v>
      </c>
      <c r="I7" s="119">
        <v>1.0000000000000001E-5</v>
      </c>
      <c r="J7" s="119">
        <v>1.0000000000000001E-5</v>
      </c>
      <c r="K7" s="119">
        <v>0.03</v>
      </c>
      <c r="L7" s="119">
        <f t="shared" ref="L7:O11" si="0">K7</f>
        <v>0.03</v>
      </c>
      <c r="M7" s="119">
        <f t="shared" si="0"/>
        <v>0.03</v>
      </c>
      <c r="N7" s="119">
        <f t="shared" si="0"/>
        <v>0.03</v>
      </c>
      <c r="O7" s="119">
        <f t="shared" si="0"/>
        <v>0.03</v>
      </c>
      <c r="P7" s="265"/>
    </row>
    <row r="8" spans="2:16">
      <c r="B8" s="81" t="s">
        <v>42</v>
      </c>
      <c r="C8" s="119">
        <v>0.1</v>
      </c>
      <c r="D8" s="119">
        <v>0.05</v>
      </c>
      <c r="E8" s="119">
        <v>0.05</v>
      </c>
      <c r="F8" s="119">
        <v>0.05</v>
      </c>
      <c r="G8" s="119">
        <v>0.03</v>
      </c>
      <c r="H8" s="119">
        <f t="shared" ref="H8:H16" si="1">G8</f>
        <v>0.03</v>
      </c>
      <c r="I8" s="119">
        <f t="shared" ref="I8:K11" si="2">H8</f>
        <v>0.03</v>
      </c>
      <c r="J8" s="119">
        <f t="shared" si="2"/>
        <v>0.03</v>
      </c>
      <c r="K8" s="119">
        <f t="shared" si="2"/>
        <v>0.03</v>
      </c>
      <c r="L8" s="119">
        <f t="shared" si="0"/>
        <v>0.03</v>
      </c>
      <c r="M8" s="119">
        <f t="shared" si="0"/>
        <v>0.03</v>
      </c>
      <c r="N8" s="119">
        <f t="shared" si="0"/>
        <v>0.03</v>
      </c>
      <c r="O8" s="119">
        <f t="shared" si="0"/>
        <v>0.03</v>
      </c>
      <c r="P8" s="265"/>
    </row>
    <row r="9" spans="2:16">
      <c r="B9" s="81" t="s">
        <v>43</v>
      </c>
      <c r="C9" s="119">
        <v>0.01</v>
      </c>
      <c r="D9" s="119">
        <f t="shared" ref="D9:G10" si="3">C9</f>
        <v>0.01</v>
      </c>
      <c r="E9" s="119">
        <f t="shared" si="3"/>
        <v>0.01</v>
      </c>
      <c r="F9" s="119">
        <f t="shared" si="3"/>
        <v>0.01</v>
      </c>
      <c r="G9" s="119">
        <f t="shared" si="3"/>
        <v>0.01</v>
      </c>
      <c r="H9" s="119">
        <f t="shared" si="1"/>
        <v>0.01</v>
      </c>
      <c r="I9" s="119">
        <f t="shared" si="2"/>
        <v>0.01</v>
      </c>
      <c r="J9" s="119">
        <f t="shared" si="2"/>
        <v>0.01</v>
      </c>
      <c r="K9" s="119">
        <f t="shared" si="2"/>
        <v>0.01</v>
      </c>
      <c r="L9" s="119">
        <f t="shared" si="0"/>
        <v>0.01</v>
      </c>
      <c r="M9" s="119">
        <f t="shared" si="0"/>
        <v>0.01</v>
      </c>
      <c r="N9" s="119">
        <f t="shared" si="0"/>
        <v>0.01</v>
      </c>
      <c r="O9" s="119">
        <f t="shared" si="0"/>
        <v>0.01</v>
      </c>
      <c r="P9" s="265"/>
    </row>
    <row r="10" spans="2:16">
      <c r="B10" s="81" t="s">
        <v>44</v>
      </c>
      <c r="C10" s="119">
        <v>0.05</v>
      </c>
      <c r="D10" s="119">
        <f t="shared" si="3"/>
        <v>0.05</v>
      </c>
      <c r="E10" s="119">
        <f t="shared" si="3"/>
        <v>0.05</v>
      </c>
      <c r="F10" s="119">
        <f t="shared" si="3"/>
        <v>0.05</v>
      </c>
      <c r="G10" s="119">
        <f t="shared" si="3"/>
        <v>0.05</v>
      </c>
      <c r="H10" s="119">
        <f t="shared" si="1"/>
        <v>0.05</v>
      </c>
      <c r="I10" s="119">
        <f t="shared" si="2"/>
        <v>0.05</v>
      </c>
      <c r="J10" s="119">
        <f t="shared" si="2"/>
        <v>0.05</v>
      </c>
      <c r="K10" s="119">
        <f t="shared" si="2"/>
        <v>0.05</v>
      </c>
      <c r="L10" s="119">
        <f t="shared" si="0"/>
        <v>0.05</v>
      </c>
      <c r="M10" s="119">
        <f t="shared" si="0"/>
        <v>0.05</v>
      </c>
      <c r="N10" s="119">
        <f t="shared" si="0"/>
        <v>0.05</v>
      </c>
      <c r="O10" s="119">
        <f t="shared" si="0"/>
        <v>0.05</v>
      </c>
      <c r="P10" s="265"/>
    </row>
    <row r="11" spans="2:16">
      <c r="B11" s="81" t="s">
        <v>45</v>
      </c>
      <c r="C11" s="119">
        <v>0.05</v>
      </c>
      <c r="D11" s="119">
        <v>0.03</v>
      </c>
      <c r="E11" s="119">
        <v>0.03</v>
      </c>
      <c r="F11" s="119">
        <v>0.02</v>
      </c>
      <c r="G11" s="119">
        <v>0.01</v>
      </c>
      <c r="H11" s="119">
        <f t="shared" si="1"/>
        <v>0.01</v>
      </c>
      <c r="I11" s="119">
        <f t="shared" si="2"/>
        <v>0.01</v>
      </c>
      <c r="J11" s="119">
        <f t="shared" si="2"/>
        <v>0.01</v>
      </c>
      <c r="K11" s="119">
        <f t="shared" si="2"/>
        <v>0.01</v>
      </c>
      <c r="L11" s="119">
        <f t="shared" si="0"/>
        <v>0.01</v>
      </c>
      <c r="M11" s="119">
        <f t="shared" si="0"/>
        <v>0.01</v>
      </c>
      <c r="N11" s="119">
        <f t="shared" si="0"/>
        <v>0.01</v>
      </c>
      <c r="O11" s="119">
        <f t="shared" si="0"/>
        <v>0.01</v>
      </c>
      <c r="P11" s="265"/>
    </row>
    <row r="12" spans="2:16">
      <c r="B12" s="81" t="s">
        <v>46</v>
      </c>
      <c r="C12" s="119">
        <v>0.87</v>
      </c>
      <c r="D12" s="119">
        <v>1.0000000000000001E-5</v>
      </c>
      <c r="E12" s="119">
        <v>1.0000000000000001E-5</v>
      </c>
      <c r="F12" s="119">
        <v>1.0000000000000001E-5</v>
      </c>
      <c r="G12" s="119">
        <v>1.0000000000000001E-5</v>
      </c>
      <c r="H12" s="119">
        <v>1.0000000000000001E-5</v>
      </c>
      <c r="I12" s="119">
        <v>1.0000000000000001E-5</v>
      </c>
      <c r="J12" s="119">
        <v>1.0000000000000001E-5</v>
      </c>
      <c r="K12" s="119">
        <v>1.0000000000000001E-5</v>
      </c>
      <c r="L12" s="119">
        <v>1.0000000000000001E-5</v>
      </c>
      <c r="M12" s="119">
        <v>1.0000000000000001E-5</v>
      </c>
      <c r="N12" s="119">
        <v>1.0000000000000001E-5</v>
      </c>
      <c r="O12" s="119">
        <v>1.0000000000000001E-5</v>
      </c>
      <c r="P12" s="265"/>
    </row>
    <row r="13" spans="2:16">
      <c r="B13" s="76"/>
      <c r="C13" s="119"/>
      <c r="D13" s="119"/>
      <c r="E13" s="119"/>
      <c r="F13" s="119"/>
      <c r="G13" s="119"/>
      <c r="H13" s="119"/>
      <c r="I13" s="119"/>
      <c r="J13" s="119"/>
      <c r="K13" s="119"/>
      <c r="L13" s="119"/>
      <c r="M13" s="119"/>
      <c r="N13" s="119"/>
      <c r="O13" s="119"/>
    </row>
    <row r="14" spans="2:16">
      <c r="B14" s="98" t="s">
        <v>48</v>
      </c>
      <c r="C14" s="119">
        <v>0.05</v>
      </c>
      <c r="D14" s="119">
        <v>0.05</v>
      </c>
      <c r="E14" s="119">
        <v>0.02</v>
      </c>
      <c r="F14" s="119">
        <v>0.02</v>
      </c>
      <c r="G14" s="119">
        <v>0.02</v>
      </c>
      <c r="H14" s="119">
        <f t="shared" si="1"/>
        <v>0.02</v>
      </c>
      <c r="I14" s="119">
        <f t="shared" ref="I14:O14" si="4">H14</f>
        <v>0.02</v>
      </c>
      <c r="J14" s="119">
        <f t="shared" si="4"/>
        <v>0.02</v>
      </c>
      <c r="K14" s="119">
        <f t="shared" si="4"/>
        <v>0.02</v>
      </c>
      <c r="L14" s="119">
        <f t="shared" si="4"/>
        <v>0.02</v>
      </c>
      <c r="M14" s="119">
        <f t="shared" si="4"/>
        <v>0.02</v>
      </c>
      <c r="N14" s="119">
        <f t="shared" si="4"/>
        <v>0.02</v>
      </c>
      <c r="O14" s="119">
        <f t="shared" si="4"/>
        <v>0.02</v>
      </c>
    </row>
    <row r="15" spans="2:16">
      <c r="B15" s="98" t="s">
        <v>49</v>
      </c>
      <c r="C15" s="119">
        <v>0.02</v>
      </c>
      <c r="D15" s="119">
        <v>0.05</v>
      </c>
      <c r="E15" s="119">
        <v>0.05</v>
      </c>
      <c r="F15" s="119">
        <v>0.05</v>
      </c>
      <c r="G15" s="119">
        <v>0.05</v>
      </c>
      <c r="H15" s="119">
        <f t="shared" si="1"/>
        <v>0.05</v>
      </c>
      <c r="I15" s="119">
        <f t="shared" ref="I15:O15" si="5">H15</f>
        <v>0.05</v>
      </c>
      <c r="J15" s="119">
        <f t="shared" si="5"/>
        <v>0.05</v>
      </c>
      <c r="K15" s="119">
        <f t="shared" si="5"/>
        <v>0.05</v>
      </c>
      <c r="L15" s="119">
        <f t="shared" si="5"/>
        <v>0.05</v>
      </c>
      <c r="M15" s="119">
        <f t="shared" si="5"/>
        <v>0.05</v>
      </c>
      <c r="N15" s="119">
        <f t="shared" si="5"/>
        <v>0.05</v>
      </c>
      <c r="O15" s="119">
        <f t="shared" si="5"/>
        <v>0.05</v>
      </c>
    </row>
    <row r="16" spans="2:16">
      <c r="B16" s="98" t="s">
        <v>50</v>
      </c>
      <c r="C16" s="119">
        <v>0.05</v>
      </c>
      <c r="D16" s="119">
        <v>0.15</v>
      </c>
      <c r="E16" s="119">
        <v>0.05</v>
      </c>
      <c r="F16" s="119">
        <v>0.05</v>
      </c>
      <c r="G16" s="119">
        <v>0.05</v>
      </c>
      <c r="H16" s="119">
        <f t="shared" si="1"/>
        <v>0.05</v>
      </c>
      <c r="I16" s="119">
        <f t="shared" ref="I16:O16" si="6">H16</f>
        <v>0.05</v>
      </c>
      <c r="J16" s="119">
        <f t="shared" si="6"/>
        <v>0.05</v>
      </c>
      <c r="K16" s="119">
        <f t="shared" si="6"/>
        <v>0.05</v>
      </c>
      <c r="L16" s="119">
        <f t="shared" si="6"/>
        <v>0.05</v>
      </c>
      <c r="M16" s="119">
        <f t="shared" si="6"/>
        <v>0.05</v>
      </c>
      <c r="N16" s="119">
        <f t="shared" si="6"/>
        <v>0.05</v>
      </c>
      <c r="O16" s="119">
        <f t="shared" si="6"/>
        <v>0.05</v>
      </c>
    </row>
    <row r="17" spans="2:16">
      <c r="B17" s="76"/>
      <c r="C17" s="119"/>
      <c r="D17" s="119"/>
      <c r="E17" s="119"/>
      <c r="F17" s="119"/>
      <c r="G17" s="119"/>
      <c r="H17" s="119"/>
      <c r="I17" s="119"/>
      <c r="J17" s="119"/>
      <c r="K17" s="119"/>
      <c r="L17" s="119"/>
      <c r="M17" s="119"/>
      <c r="N17" s="119"/>
      <c r="O17" s="119"/>
    </row>
    <row r="18" spans="2:16" ht="18.600000000000001">
      <c r="B18" s="84" t="s">
        <v>125</v>
      </c>
      <c r="C18" s="119"/>
      <c r="D18" s="119"/>
      <c r="E18" s="119"/>
      <c r="F18" s="119"/>
      <c r="G18" s="119"/>
      <c r="H18" s="119"/>
      <c r="I18" s="119"/>
      <c r="J18" s="119"/>
      <c r="K18" s="119"/>
      <c r="L18" s="119"/>
      <c r="M18" s="119"/>
      <c r="N18" s="119"/>
      <c r="O18" s="119"/>
    </row>
    <row r="19" spans="2:16">
      <c r="B19" s="81" t="s">
        <v>41</v>
      </c>
      <c r="C19" s="119">
        <v>0.71499999999999997</v>
      </c>
      <c r="D19" s="119">
        <v>0.1</v>
      </c>
      <c r="E19" s="119">
        <v>0.05</v>
      </c>
      <c r="F19" s="119">
        <v>0.05</v>
      </c>
      <c r="G19" s="119">
        <v>0.05</v>
      </c>
      <c r="H19" s="119">
        <v>0.05</v>
      </c>
      <c r="I19" s="119">
        <v>1E-4</v>
      </c>
      <c r="J19" s="119">
        <v>1E-4</v>
      </c>
      <c r="K19" s="119">
        <v>1E-4</v>
      </c>
      <c r="L19" s="119">
        <v>0.05</v>
      </c>
      <c r="M19" s="119">
        <f>L19</f>
        <v>0.05</v>
      </c>
      <c r="N19" s="119">
        <f>M19</f>
        <v>0.05</v>
      </c>
      <c r="O19" s="119">
        <f>N19</f>
        <v>0.05</v>
      </c>
      <c r="P19" s="265"/>
    </row>
    <row r="20" spans="2:16">
      <c r="B20" s="81" t="s">
        <v>42</v>
      </c>
      <c r="C20" s="119">
        <v>0.12</v>
      </c>
      <c r="D20" s="119">
        <v>0.02</v>
      </c>
      <c r="E20" s="119">
        <v>0.02</v>
      </c>
      <c r="F20" s="119">
        <v>0.02</v>
      </c>
      <c r="G20" s="119">
        <v>0.05</v>
      </c>
      <c r="H20" s="119">
        <f t="shared" ref="H20:O20" si="7">G20</f>
        <v>0.05</v>
      </c>
      <c r="I20" s="119">
        <f t="shared" si="7"/>
        <v>0.05</v>
      </c>
      <c r="J20" s="119">
        <f t="shared" si="7"/>
        <v>0.05</v>
      </c>
      <c r="K20" s="119">
        <f t="shared" si="7"/>
        <v>0.05</v>
      </c>
      <c r="L20" s="119">
        <f t="shared" si="7"/>
        <v>0.05</v>
      </c>
      <c r="M20" s="119">
        <f t="shared" si="7"/>
        <v>0.05</v>
      </c>
      <c r="N20" s="119">
        <f t="shared" si="7"/>
        <v>0.05</v>
      </c>
      <c r="O20" s="119">
        <f t="shared" si="7"/>
        <v>0.05</v>
      </c>
    </row>
    <row r="21" spans="2:16">
      <c r="B21" s="81" t="s">
        <v>43</v>
      </c>
      <c r="C21" s="119">
        <v>0.09</v>
      </c>
      <c r="D21" s="119">
        <v>0.03</v>
      </c>
      <c r="E21" s="119">
        <v>0.03</v>
      </c>
      <c r="F21" s="119">
        <v>0.03</v>
      </c>
      <c r="G21" s="119">
        <v>0.05</v>
      </c>
      <c r="H21" s="119">
        <f t="shared" ref="H21:O21" si="8">G21</f>
        <v>0.05</v>
      </c>
      <c r="I21" s="119">
        <f t="shared" si="8"/>
        <v>0.05</v>
      </c>
      <c r="J21" s="119">
        <f t="shared" si="8"/>
        <v>0.05</v>
      </c>
      <c r="K21" s="119">
        <f t="shared" si="8"/>
        <v>0.05</v>
      </c>
      <c r="L21" s="119">
        <f t="shared" si="8"/>
        <v>0.05</v>
      </c>
      <c r="M21" s="119">
        <f t="shared" si="8"/>
        <v>0.05</v>
      </c>
      <c r="N21" s="119">
        <f t="shared" si="8"/>
        <v>0.05</v>
      </c>
      <c r="O21" s="119">
        <f t="shared" si="8"/>
        <v>0.05</v>
      </c>
    </row>
    <row r="22" spans="2:16">
      <c r="B22" s="81" t="s">
        <v>44</v>
      </c>
      <c r="C22" s="119">
        <v>0.03</v>
      </c>
      <c r="D22" s="119">
        <f>C22</f>
        <v>0.03</v>
      </c>
      <c r="E22" s="119">
        <f>D22</f>
        <v>0.03</v>
      </c>
      <c r="F22" s="119">
        <f>E22</f>
        <v>0.03</v>
      </c>
      <c r="G22" s="119">
        <f>F22</f>
        <v>0.03</v>
      </c>
      <c r="H22" s="119">
        <f t="shared" ref="H22:O22" si="9">G22</f>
        <v>0.03</v>
      </c>
      <c r="I22" s="119">
        <f t="shared" si="9"/>
        <v>0.03</v>
      </c>
      <c r="J22" s="119">
        <f t="shared" si="9"/>
        <v>0.03</v>
      </c>
      <c r="K22" s="119">
        <f t="shared" si="9"/>
        <v>0.03</v>
      </c>
      <c r="L22" s="119">
        <f t="shared" si="9"/>
        <v>0.03</v>
      </c>
      <c r="M22" s="119">
        <f t="shared" si="9"/>
        <v>0.03</v>
      </c>
      <c r="N22" s="119">
        <f t="shared" si="9"/>
        <v>0.03</v>
      </c>
      <c r="O22" s="119">
        <f t="shared" si="9"/>
        <v>0.03</v>
      </c>
    </row>
    <row r="23" spans="2:16">
      <c r="B23" s="81" t="s">
        <v>45</v>
      </c>
      <c r="C23" s="119">
        <v>0.03</v>
      </c>
      <c r="D23" s="119">
        <f t="shared" ref="D23:O23" si="10">C23</f>
        <v>0.03</v>
      </c>
      <c r="E23" s="119">
        <f t="shared" si="10"/>
        <v>0.03</v>
      </c>
      <c r="F23" s="119">
        <f t="shared" si="10"/>
        <v>0.03</v>
      </c>
      <c r="G23" s="119">
        <f t="shared" si="10"/>
        <v>0.03</v>
      </c>
      <c r="H23" s="119">
        <f t="shared" si="10"/>
        <v>0.03</v>
      </c>
      <c r="I23" s="119">
        <f t="shared" si="10"/>
        <v>0.03</v>
      </c>
      <c r="J23" s="119">
        <f t="shared" si="10"/>
        <v>0.03</v>
      </c>
      <c r="K23" s="119">
        <f t="shared" si="10"/>
        <v>0.03</v>
      </c>
      <c r="L23" s="119">
        <f t="shared" si="10"/>
        <v>0.03</v>
      </c>
      <c r="M23" s="119">
        <f t="shared" si="10"/>
        <v>0.03</v>
      </c>
      <c r="N23" s="119">
        <f t="shared" si="10"/>
        <v>0.03</v>
      </c>
      <c r="O23" s="119">
        <f t="shared" si="10"/>
        <v>0.03</v>
      </c>
    </row>
    <row r="24" spans="2:16">
      <c r="B24" s="81" t="s">
        <v>46</v>
      </c>
      <c r="C24" s="119">
        <v>0</v>
      </c>
      <c r="D24" s="119">
        <v>-0.05</v>
      </c>
      <c r="E24" s="119">
        <f t="shared" ref="E24:O24" si="11">D24</f>
        <v>-0.05</v>
      </c>
      <c r="F24" s="119">
        <f t="shared" si="11"/>
        <v>-0.05</v>
      </c>
      <c r="G24" s="119">
        <v>0</v>
      </c>
      <c r="H24" s="119">
        <f t="shared" si="11"/>
        <v>0</v>
      </c>
      <c r="I24" s="119">
        <f t="shared" si="11"/>
        <v>0</v>
      </c>
      <c r="J24" s="119">
        <f t="shared" si="11"/>
        <v>0</v>
      </c>
      <c r="K24" s="119">
        <f t="shared" si="11"/>
        <v>0</v>
      </c>
      <c r="L24" s="119">
        <f t="shared" si="11"/>
        <v>0</v>
      </c>
      <c r="M24" s="119">
        <f t="shared" si="11"/>
        <v>0</v>
      </c>
      <c r="N24" s="119">
        <f t="shared" si="11"/>
        <v>0</v>
      </c>
      <c r="O24" s="119">
        <f t="shared" si="11"/>
        <v>0</v>
      </c>
    </row>
    <row r="25" spans="2:16">
      <c r="B25" s="99"/>
      <c r="C25" s="119"/>
      <c r="D25" s="119"/>
      <c r="E25" s="119"/>
      <c r="F25" s="119"/>
      <c r="G25" s="119"/>
      <c r="H25" s="119"/>
      <c r="I25" s="119"/>
      <c r="J25" s="119"/>
      <c r="K25" s="119"/>
      <c r="L25" s="119"/>
      <c r="M25" s="119"/>
      <c r="N25" s="119"/>
      <c r="O25" s="119"/>
    </row>
    <row r="26" spans="2:16">
      <c r="B26" s="98" t="s">
        <v>48</v>
      </c>
      <c r="C26" s="119">
        <v>0.02</v>
      </c>
      <c r="D26" s="119">
        <f>C26</f>
        <v>0.02</v>
      </c>
      <c r="E26" s="119">
        <f>D26</f>
        <v>0.02</v>
      </c>
      <c r="F26" s="119">
        <f t="shared" ref="F26:O26" si="12">E26</f>
        <v>0.02</v>
      </c>
      <c r="G26" s="119">
        <f t="shared" si="12"/>
        <v>0.02</v>
      </c>
      <c r="H26" s="119">
        <f t="shared" si="12"/>
        <v>0.02</v>
      </c>
      <c r="I26" s="119">
        <f t="shared" si="12"/>
        <v>0.02</v>
      </c>
      <c r="J26" s="119">
        <f t="shared" si="12"/>
        <v>0.02</v>
      </c>
      <c r="K26" s="119">
        <f t="shared" si="12"/>
        <v>0.02</v>
      </c>
      <c r="L26" s="119">
        <f t="shared" si="12"/>
        <v>0.02</v>
      </c>
      <c r="M26" s="119">
        <f t="shared" si="12"/>
        <v>0.02</v>
      </c>
      <c r="N26" s="119">
        <f t="shared" si="12"/>
        <v>0.02</v>
      </c>
      <c r="O26" s="119">
        <f t="shared" si="12"/>
        <v>0.02</v>
      </c>
    </row>
    <row r="27" spans="2:16">
      <c r="B27" s="98" t="s">
        <v>49</v>
      </c>
      <c r="C27" s="119">
        <v>0.03</v>
      </c>
      <c r="D27" s="119">
        <v>0.25</v>
      </c>
      <c r="E27" s="119">
        <v>0.05</v>
      </c>
      <c r="F27" s="119">
        <v>0.05</v>
      </c>
      <c r="G27" s="119">
        <v>0.05</v>
      </c>
      <c r="H27" s="119">
        <f t="shared" ref="H27:O27" si="13">G27</f>
        <v>0.05</v>
      </c>
      <c r="I27" s="119">
        <f t="shared" si="13"/>
        <v>0.05</v>
      </c>
      <c r="J27" s="119">
        <f t="shared" si="13"/>
        <v>0.05</v>
      </c>
      <c r="K27" s="119">
        <f t="shared" si="13"/>
        <v>0.05</v>
      </c>
      <c r="L27" s="119">
        <f t="shared" si="13"/>
        <v>0.05</v>
      </c>
      <c r="M27" s="119">
        <f t="shared" si="13"/>
        <v>0.05</v>
      </c>
      <c r="N27" s="119">
        <f t="shared" si="13"/>
        <v>0.05</v>
      </c>
      <c r="O27" s="119">
        <f t="shared" si="13"/>
        <v>0.05</v>
      </c>
    </row>
    <row r="28" spans="2:16">
      <c r="B28" s="98" t="s">
        <v>50</v>
      </c>
      <c r="C28" s="119">
        <v>0.03</v>
      </c>
      <c r="D28" s="119">
        <v>0.25</v>
      </c>
      <c r="E28" s="119">
        <v>0.05</v>
      </c>
      <c r="F28" s="119">
        <v>0.05</v>
      </c>
      <c r="G28" s="119">
        <v>0.05</v>
      </c>
      <c r="H28" s="119">
        <f t="shared" ref="H28:O28" si="14">G28</f>
        <v>0.05</v>
      </c>
      <c r="I28" s="119">
        <f t="shared" si="14"/>
        <v>0.05</v>
      </c>
      <c r="J28" s="119">
        <f t="shared" si="14"/>
        <v>0.05</v>
      </c>
      <c r="K28" s="119">
        <f t="shared" si="14"/>
        <v>0.05</v>
      </c>
      <c r="L28" s="119">
        <f t="shared" si="14"/>
        <v>0.05</v>
      </c>
      <c r="M28" s="119">
        <f t="shared" si="14"/>
        <v>0.05</v>
      </c>
      <c r="N28" s="119">
        <f t="shared" si="14"/>
        <v>0.05</v>
      </c>
      <c r="O28" s="119">
        <f t="shared" si="14"/>
        <v>0.05</v>
      </c>
    </row>
    <row r="29" spans="2:16">
      <c r="B29" s="76"/>
      <c r="C29" s="119"/>
      <c r="D29" s="119"/>
      <c r="E29" s="119"/>
      <c r="F29" s="119"/>
      <c r="G29" s="119"/>
      <c r="H29" s="119"/>
      <c r="I29" s="119"/>
      <c r="J29" s="119"/>
      <c r="K29" s="119"/>
      <c r="L29" s="119"/>
      <c r="M29" s="119"/>
      <c r="N29" s="119"/>
      <c r="O29" s="119"/>
    </row>
    <row r="30" spans="2:16" ht="18.600000000000001">
      <c r="B30" s="84" t="s">
        <v>134</v>
      </c>
      <c r="C30" s="120">
        <v>0.05</v>
      </c>
      <c r="D30" s="120">
        <f t="shared" ref="D30:O30" si="15">C30</f>
        <v>0.05</v>
      </c>
      <c r="E30" s="120">
        <f t="shared" si="15"/>
        <v>0.05</v>
      </c>
      <c r="F30" s="120">
        <f t="shared" si="15"/>
        <v>0.05</v>
      </c>
      <c r="G30" s="120">
        <f t="shared" si="15"/>
        <v>0.05</v>
      </c>
      <c r="H30" s="120">
        <f t="shared" si="15"/>
        <v>0.05</v>
      </c>
      <c r="I30" s="120">
        <f t="shared" si="15"/>
        <v>0.05</v>
      </c>
      <c r="J30" s="120">
        <f t="shared" si="15"/>
        <v>0.05</v>
      </c>
      <c r="K30" s="120">
        <f t="shared" si="15"/>
        <v>0.05</v>
      </c>
      <c r="L30" s="120">
        <f t="shared" si="15"/>
        <v>0.05</v>
      </c>
      <c r="M30" s="120">
        <f t="shared" si="15"/>
        <v>0.05</v>
      </c>
      <c r="N30" s="120">
        <f t="shared" si="15"/>
        <v>0.05</v>
      </c>
      <c r="O30" s="120">
        <f t="shared" si="15"/>
        <v>0.05</v>
      </c>
    </row>
    <row r="31" spans="2:16">
      <c r="B31" s="76"/>
      <c r="C31" s="120"/>
      <c r="D31" s="120"/>
      <c r="E31" s="120"/>
      <c r="F31" s="120"/>
      <c r="G31" s="120"/>
      <c r="H31" s="120"/>
      <c r="I31" s="120"/>
      <c r="J31" s="120"/>
      <c r="K31" s="120"/>
      <c r="L31" s="120"/>
      <c r="M31" s="120"/>
      <c r="N31" s="120"/>
      <c r="O31" s="120"/>
    </row>
    <row r="32" spans="2:16">
      <c r="B32" s="76"/>
      <c r="C32" s="120"/>
      <c r="D32" s="120"/>
      <c r="E32" s="120"/>
      <c r="F32" s="120"/>
      <c r="G32" s="120"/>
      <c r="H32" s="120"/>
      <c r="I32" s="120"/>
      <c r="J32" s="120"/>
      <c r="K32" s="120"/>
      <c r="L32" s="120"/>
      <c r="M32" s="120"/>
      <c r="N32" s="120"/>
      <c r="O32" s="120"/>
    </row>
    <row r="33" spans="2:15" ht="18.600000000000001">
      <c r="B33" s="84" t="s">
        <v>135</v>
      </c>
      <c r="C33" s="121"/>
      <c r="D33" s="121"/>
      <c r="E33" s="121"/>
      <c r="F33" s="120"/>
      <c r="G33" s="120"/>
      <c r="H33" s="120"/>
      <c r="I33" s="120"/>
      <c r="J33" s="120"/>
      <c r="K33" s="120"/>
      <c r="L33" s="120"/>
      <c r="M33" s="120"/>
      <c r="N33" s="120"/>
      <c r="O33" s="120"/>
    </row>
    <row r="34" spans="2:15">
      <c r="B34" s="100" t="s">
        <v>53</v>
      </c>
      <c r="C34" s="122">
        <v>0.06</v>
      </c>
      <c r="D34" s="122">
        <f t="shared" ref="D34:O34" si="16">C34</f>
        <v>0.06</v>
      </c>
      <c r="E34" s="122">
        <f t="shared" si="16"/>
        <v>0.06</v>
      </c>
      <c r="F34" s="122">
        <f t="shared" si="16"/>
        <v>0.06</v>
      </c>
      <c r="G34" s="122">
        <f t="shared" si="16"/>
        <v>0.06</v>
      </c>
      <c r="H34" s="122">
        <f t="shared" si="16"/>
        <v>0.06</v>
      </c>
      <c r="I34" s="122">
        <f t="shared" si="16"/>
        <v>0.06</v>
      </c>
      <c r="J34" s="122">
        <f t="shared" si="16"/>
        <v>0.06</v>
      </c>
      <c r="K34" s="122">
        <f t="shared" si="16"/>
        <v>0.06</v>
      </c>
      <c r="L34" s="122">
        <f t="shared" si="16"/>
        <v>0.06</v>
      </c>
      <c r="M34" s="122">
        <f t="shared" si="16"/>
        <v>0.06</v>
      </c>
      <c r="N34" s="122">
        <f t="shared" si="16"/>
        <v>0.06</v>
      </c>
      <c r="O34" s="122">
        <f t="shared" si="16"/>
        <v>0.06</v>
      </c>
    </row>
    <row r="35" spans="2:15">
      <c r="B35" s="100" t="s">
        <v>54</v>
      </c>
      <c r="C35" s="122">
        <v>0.06</v>
      </c>
      <c r="D35" s="122">
        <f t="shared" ref="D35:O35" si="17">C35</f>
        <v>0.06</v>
      </c>
      <c r="E35" s="122">
        <f t="shared" si="17"/>
        <v>0.06</v>
      </c>
      <c r="F35" s="122">
        <f t="shared" si="17"/>
        <v>0.06</v>
      </c>
      <c r="G35" s="122">
        <f t="shared" si="17"/>
        <v>0.06</v>
      </c>
      <c r="H35" s="122">
        <f t="shared" si="17"/>
        <v>0.06</v>
      </c>
      <c r="I35" s="122">
        <f t="shared" si="17"/>
        <v>0.06</v>
      </c>
      <c r="J35" s="122">
        <f t="shared" si="17"/>
        <v>0.06</v>
      </c>
      <c r="K35" s="122">
        <f t="shared" si="17"/>
        <v>0.06</v>
      </c>
      <c r="L35" s="122">
        <f t="shared" si="17"/>
        <v>0.06</v>
      </c>
      <c r="M35" s="122">
        <f t="shared" si="17"/>
        <v>0.06</v>
      </c>
      <c r="N35" s="122">
        <f t="shared" si="17"/>
        <v>0.06</v>
      </c>
      <c r="O35" s="122">
        <f t="shared" si="17"/>
        <v>0.06</v>
      </c>
    </row>
    <row r="36" spans="2:15">
      <c r="B36" s="100" t="s">
        <v>55</v>
      </c>
      <c r="C36" s="122">
        <v>0.06</v>
      </c>
      <c r="D36" s="122">
        <f t="shared" ref="D36:O36" si="18">C36</f>
        <v>0.06</v>
      </c>
      <c r="E36" s="122">
        <f t="shared" si="18"/>
        <v>0.06</v>
      </c>
      <c r="F36" s="122">
        <f t="shared" si="18"/>
        <v>0.06</v>
      </c>
      <c r="G36" s="122">
        <f t="shared" si="18"/>
        <v>0.06</v>
      </c>
      <c r="H36" s="122">
        <f t="shared" si="18"/>
        <v>0.06</v>
      </c>
      <c r="I36" s="122">
        <f t="shared" si="18"/>
        <v>0.06</v>
      </c>
      <c r="J36" s="122">
        <f t="shared" si="18"/>
        <v>0.06</v>
      </c>
      <c r="K36" s="122">
        <f t="shared" si="18"/>
        <v>0.06</v>
      </c>
      <c r="L36" s="122">
        <f t="shared" si="18"/>
        <v>0.06</v>
      </c>
      <c r="M36" s="122">
        <f t="shared" si="18"/>
        <v>0.06</v>
      </c>
      <c r="N36" s="122">
        <f t="shared" si="18"/>
        <v>0.06</v>
      </c>
      <c r="O36" s="122">
        <f t="shared" si="18"/>
        <v>0.06</v>
      </c>
    </row>
    <row r="37" spans="2:15">
      <c r="B37" s="100" t="s">
        <v>56</v>
      </c>
      <c r="C37" s="122">
        <v>0.06</v>
      </c>
      <c r="D37" s="122">
        <f t="shared" ref="D37:O37" si="19">C37</f>
        <v>0.06</v>
      </c>
      <c r="E37" s="122">
        <f t="shared" si="19"/>
        <v>0.06</v>
      </c>
      <c r="F37" s="122">
        <f t="shared" si="19"/>
        <v>0.06</v>
      </c>
      <c r="G37" s="122">
        <f t="shared" si="19"/>
        <v>0.06</v>
      </c>
      <c r="H37" s="122">
        <f t="shared" si="19"/>
        <v>0.06</v>
      </c>
      <c r="I37" s="122">
        <f t="shared" si="19"/>
        <v>0.06</v>
      </c>
      <c r="J37" s="122">
        <f t="shared" si="19"/>
        <v>0.06</v>
      </c>
      <c r="K37" s="122">
        <f t="shared" si="19"/>
        <v>0.06</v>
      </c>
      <c r="L37" s="122">
        <f t="shared" si="19"/>
        <v>0.06</v>
      </c>
      <c r="M37" s="122">
        <f t="shared" si="19"/>
        <v>0.06</v>
      </c>
      <c r="N37" s="122">
        <f t="shared" si="19"/>
        <v>0.06</v>
      </c>
      <c r="O37" s="122">
        <f t="shared" si="19"/>
        <v>0.06</v>
      </c>
    </row>
    <row r="38" spans="2:15">
      <c r="B38" s="76"/>
    </row>
    <row r="39" spans="2:15">
      <c r="B39" s="76"/>
    </row>
    <row r="40" spans="2:15" ht="18.600000000000001">
      <c r="B40" s="84" t="s">
        <v>136</v>
      </c>
    </row>
    <row r="41" spans="2:15">
      <c r="B41" s="98" t="s">
        <v>58</v>
      </c>
      <c r="C41" s="77">
        <v>0.1</v>
      </c>
      <c r="D41" s="77">
        <f t="shared" ref="D41:O41" si="20">C41</f>
        <v>0.1</v>
      </c>
      <c r="E41" s="77">
        <f t="shared" si="20"/>
        <v>0.1</v>
      </c>
      <c r="F41" s="77">
        <f t="shared" si="20"/>
        <v>0.1</v>
      </c>
      <c r="G41" s="77">
        <f t="shared" si="20"/>
        <v>0.1</v>
      </c>
      <c r="H41" s="77">
        <f t="shared" si="20"/>
        <v>0.1</v>
      </c>
      <c r="I41" s="77">
        <f t="shared" si="20"/>
        <v>0.1</v>
      </c>
      <c r="J41" s="77">
        <f t="shared" si="20"/>
        <v>0.1</v>
      </c>
      <c r="K41" s="77">
        <f t="shared" si="20"/>
        <v>0.1</v>
      </c>
      <c r="L41" s="77">
        <f t="shared" si="20"/>
        <v>0.1</v>
      </c>
      <c r="M41" s="77">
        <f t="shared" si="20"/>
        <v>0.1</v>
      </c>
      <c r="N41" s="77">
        <f t="shared" si="20"/>
        <v>0.1</v>
      </c>
      <c r="O41" s="77">
        <f t="shared" si="20"/>
        <v>0.1</v>
      </c>
    </row>
    <row r="42" spans="2:15">
      <c r="B42" s="100" t="s">
        <v>59</v>
      </c>
      <c r="C42" s="77">
        <v>0.4</v>
      </c>
      <c r="D42" s="77">
        <f t="shared" ref="D42:O42" si="21">C42</f>
        <v>0.4</v>
      </c>
      <c r="E42" s="77">
        <f t="shared" si="21"/>
        <v>0.4</v>
      </c>
      <c r="F42" s="77">
        <f t="shared" si="21"/>
        <v>0.4</v>
      </c>
      <c r="G42" s="77">
        <v>0.03</v>
      </c>
      <c r="H42" s="77">
        <f t="shared" si="21"/>
        <v>0.03</v>
      </c>
      <c r="I42" s="77">
        <f t="shared" si="21"/>
        <v>0.03</v>
      </c>
      <c r="J42" s="77">
        <f t="shared" si="21"/>
        <v>0.03</v>
      </c>
      <c r="K42" s="77">
        <f t="shared" si="21"/>
        <v>0.03</v>
      </c>
      <c r="L42" s="77">
        <f t="shared" si="21"/>
        <v>0.03</v>
      </c>
      <c r="M42" s="77">
        <f t="shared" si="21"/>
        <v>0.03</v>
      </c>
      <c r="N42" s="77">
        <f t="shared" si="21"/>
        <v>0.03</v>
      </c>
      <c r="O42" s="77">
        <f t="shared" si="21"/>
        <v>0.03</v>
      </c>
    </row>
    <row r="43" spans="2:15">
      <c r="B43" s="100" t="s">
        <v>60</v>
      </c>
      <c r="C43" s="77">
        <v>0.03</v>
      </c>
      <c r="D43" s="77">
        <f t="shared" ref="D43:O43" si="22">C43</f>
        <v>0.03</v>
      </c>
      <c r="E43" s="77">
        <f t="shared" si="22"/>
        <v>0.03</v>
      </c>
      <c r="F43" s="77">
        <f t="shared" si="22"/>
        <v>0.03</v>
      </c>
      <c r="G43" s="77">
        <f t="shared" si="22"/>
        <v>0.03</v>
      </c>
      <c r="H43" s="77">
        <f t="shared" si="22"/>
        <v>0.03</v>
      </c>
      <c r="I43" s="77">
        <f t="shared" si="22"/>
        <v>0.03</v>
      </c>
      <c r="J43" s="77">
        <f t="shared" si="22"/>
        <v>0.03</v>
      </c>
      <c r="K43" s="77">
        <f t="shared" si="22"/>
        <v>0.03</v>
      </c>
      <c r="L43" s="77">
        <f t="shared" si="22"/>
        <v>0.03</v>
      </c>
      <c r="M43" s="77">
        <f t="shared" si="22"/>
        <v>0.03</v>
      </c>
      <c r="N43" s="77">
        <f t="shared" si="22"/>
        <v>0.03</v>
      </c>
      <c r="O43" s="77">
        <f t="shared" si="22"/>
        <v>0.03</v>
      </c>
    </row>
    <row r="44" spans="2:15">
      <c r="B44" s="100" t="s">
        <v>4</v>
      </c>
      <c r="C44" s="77">
        <v>0.02</v>
      </c>
      <c r="D44" s="77">
        <f t="shared" ref="D44:O44" si="23">C44</f>
        <v>0.02</v>
      </c>
      <c r="E44" s="77">
        <f t="shared" si="23"/>
        <v>0.02</v>
      </c>
      <c r="F44" s="77">
        <f t="shared" si="23"/>
        <v>0.02</v>
      </c>
      <c r="G44" s="77">
        <f t="shared" si="23"/>
        <v>0.02</v>
      </c>
      <c r="H44" s="77">
        <f t="shared" si="23"/>
        <v>0.02</v>
      </c>
      <c r="I44" s="77">
        <f t="shared" si="23"/>
        <v>0.02</v>
      </c>
      <c r="J44" s="77">
        <f t="shared" si="23"/>
        <v>0.02</v>
      </c>
      <c r="K44" s="77">
        <f t="shared" si="23"/>
        <v>0.02</v>
      </c>
      <c r="L44" s="77">
        <f t="shared" si="23"/>
        <v>0.02</v>
      </c>
      <c r="M44" s="77">
        <f t="shared" si="23"/>
        <v>0.02</v>
      </c>
      <c r="N44" s="77">
        <f t="shared" si="23"/>
        <v>0.02</v>
      </c>
      <c r="O44" s="77">
        <f t="shared" si="23"/>
        <v>0.02</v>
      </c>
    </row>
    <row r="45" spans="2:15">
      <c r="B45" s="76"/>
    </row>
    <row r="46" spans="2:15" ht="18.600000000000001">
      <c r="B46" s="84" t="s">
        <v>126</v>
      </c>
      <c r="C46" s="77">
        <v>0.05</v>
      </c>
      <c r="D46" s="77">
        <f>C46</f>
        <v>0.05</v>
      </c>
      <c r="E46" s="77">
        <f t="shared" ref="E46:O46" si="24">D46</f>
        <v>0.05</v>
      </c>
      <c r="F46" s="77">
        <f t="shared" si="24"/>
        <v>0.05</v>
      </c>
      <c r="G46" s="77">
        <f t="shared" si="24"/>
        <v>0.05</v>
      </c>
      <c r="H46" s="77">
        <f t="shared" si="24"/>
        <v>0.05</v>
      </c>
      <c r="I46" s="77">
        <f t="shared" si="24"/>
        <v>0.05</v>
      </c>
      <c r="J46" s="77">
        <f t="shared" si="24"/>
        <v>0.05</v>
      </c>
      <c r="K46" s="77">
        <f t="shared" si="24"/>
        <v>0.05</v>
      </c>
      <c r="L46" s="77">
        <f t="shared" si="24"/>
        <v>0.05</v>
      </c>
      <c r="M46" s="77">
        <f t="shared" si="24"/>
        <v>0.05</v>
      </c>
      <c r="N46" s="77">
        <f t="shared" si="24"/>
        <v>0.05</v>
      </c>
      <c r="O46" s="77">
        <f t="shared" si="24"/>
        <v>0.05</v>
      </c>
    </row>
    <row r="47" spans="2:15" ht="18.600000000000001">
      <c r="B47" s="84" t="s">
        <v>127</v>
      </c>
      <c r="C47" s="77">
        <v>0.25</v>
      </c>
      <c r="D47" s="77">
        <v>0.34</v>
      </c>
      <c r="E47" s="77">
        <f t="shared" ref="E47:O47" si="25">D47</f>
        <v>0.34</v>
      </c>
      <c r="F47" s="77">
        <f t="shared" si="25"/>
        <v>0.34</v>
      </c>
      <c r="G47" s="77">
        <f t="shared" si="25"/>
        <v>0.34</v>
      </c>
      <c r="H47" s="77">
        <f t="shared" si="25"/>
        <v>0.34</v>
      </c>
      <c r="I47" s="77">
        <f t="shared" si="25"/>
        <v>0.34</v>
      </c>
      <c r="J47" s="77">
        <f t="shared" si="25"/>
        <v>0.34</v>
      </c>
      <c r="K47" s="77">
        <f t="shared" si="25"/>
        <v>0.34</v>
      </c>
      <c r="L47" s="77">
        <f t="shared" si="25"/>
        <v>0.34</v>
      </c>
      <c r="M47" s="77">
        <f t="shared" si="25"/>
        <v>0.34</v>
      </c>
      <c r="N47" s="77">
        <f t="shared" si="25"/>
        <v>0.34</v>
      </c>
      <c r="O47" s="77">
        <f t="shared" si="25"/>
        <v>0.34</v>
      </c>
    </row>
    <row r="48" spans="2:15" ht="18.600000000000001">
      <c r="B48" s="84" t="s">
        <v>148</v>
      </c>
    </row>
    <row r="49" spans="2:15">
      <c r="B49" s="78" t="s">
        <v>3</v>
      </c>
      <c r="C49" s="90">
        <f>AVERAGE('13-Ciclo'!D9:F9)</f>
        <v>59.821741995040163</v>
      </c>
      <c r="D49" s="90">
        <f t="shared" ref="D49:O49" si="26">C49</f>
        <v>59.821741995040163</v>
      </c>
      <c r="E49" s="90">
        <f t="shared" si="26"/>
        <v>59.821741995040163</v>
      </c>
      <c r="F49" s="90">
        <f t="shared" si="26"/>
        <v>59.821741995040163</v>
      </c>
      <c r="G49" s="90">
        <f t="shared" si="26"/>
        <v>59.821741995040163</v>
      </c>
      <c r="H49" s="90">
        <f t="shared" si="26"/>
        <v>59.821741995040163</v>
      </c>
      <c r="I49" s="90">
        <f t="shared" si="26"/>
        <v>59.821741995040163</v>
      </c>
      <c r="J49" s="90">
        <f t="shared" si="26"/>
        <v>59.821741995040163</v>
      </c>
      <c r="K49" s="90">
        <f t="shared" si="26"/>
        <v>59.821741995040163</v>
      </c>
      <c r="L49" s="90">
        <f t="shared" si="26"/>
        <v>59.821741995040163</v>
      </c>
      <c r="M49" s="90">
        <f t="shared" si="26"/>
        <v>59.821741995040163</v>
      </c>
      <c r="N49" s="90">
        <f t="shared" si="26"/>
        <v>59.821741995040163</v>
      </c>
      <c r="O49" s="90">
        <f t="shared" si="26"/>
        <v>59.821741995040163</v>
      </c>
    </row>
    <row r="50" spans="2:15">
      <c r="B50" s="78" t="s">
        <v>128</v>
      </c>
      <c r="C50" s="90">
        <f>AVERAGE('13-Ciclo'!D10:F10)</f>
        <v>50.761502612477443</v>
      </c>
      <c r="D50" s="90">
        <f t="shared" ref="D50:O50" si="27">C50</f>
        <v>50.761502612477443</v>
      </c>
      <c r="E50" s="90">
        <f t="shared" si="27"/>
        <v>50.761502612477443</v>
      </c>
      <c r="F50" s="90">
        <f t="shared" si="27"/>
        <v>50.761502612477443</v>
      </c>
      <c r="G50" s="90">
        <f t="shared" si="27"/>
        <v>50.761502612477443</v>
      </c>
      <c r="H50" s="90">
        <f t="shared" si="27"/>
        <v>50.761502612477443</v>
      </c>
      <c r="I50" s="90">
        <f t="shared" si="27"/>
        <v>50.761502612477443</v>
      </c>
      <c r="J50" s="90">
        <f t="shared" si="27"/>
        <v>50.761502612477443</v>
      </c>
      <c r="K50" s="90">
        <f t="shared" si="27"/>
        <v>50.761502612477443</v>
      </c>
      <c r="L50" s="90">
        <f t="shared" si="27"/>
        <v>50.761502612477443</v>
      </c>
      <c r="M50" s="90">
        <f t="shared" si="27"/>
        <v>50.761502612477443</v>
      </c>
      <c r="N50" s="90">
        <f t="shared" si="27"/>
        <v>50.761502612477443</v>
      </c>
      <c r="O50" s="90">
        <f t="shared" si="27"/>
        <v>50.761502612477443</v>
      </c>
    </row>
    <row r="51" spans="2:15">
      <c r="B51" s="78" t="s">
        <v>16</v>
      </c>
      <c r="C51" s="90">
        <f>AVERAGE('13-Ciclo'!D12:F12)</f>
        <v>55.620583658133036</v>
      </c>
      <c r="D51" s="90">
        <f t="shared" ref="D51:O51" si="28">C51</f>
        <v>55.620583658133036</v>
      </c>
      <c r="E51" s="90">
        <f t="shared" si="28"/>
        <v>55.620583658133036</v>
      </c>
      <c r="F51" s="90">
        <f t="shared" si="28"/>
        <v>55.620583658133036</v>
      </c>
      <c r="G51" s="90">
        <f t="shared" si="28"/>
        <v>55.620583658133036</v>
      </c>
      <c r="H51" s="90">
        <f t="shared" si="28"/>
        <v>55.620583658133036</v>
      </c>
      <c r="I51" s="90">
        <f t="shared" si="28"/>
        <v>55.620583658133036</v>
      </c>
      <c r="J51" s="90">
        <f t="shared" si="28"/>
        <v>55.620583658133036</v>
      </c>
      <c r="K51" s="90">
        <f t="shared" si="28"/>
        <v>55.620583658133036</v>
      </c>
      <c r="L51" s="90">
        <f t="shared" si="28"/>
        <v>55.620583658133036</v>
      </c>
      <c r="M51" s="90">
        <f t="shared" si="28"/>
        <v>55.620583658133036</v>
      </c>
      <c r="N51" s="90">
        <f t="shared" si="28"/>
        <v>55.620583658133036</v>
      </c>
      <c r="O51" s="90">
        <f t="shared" si="28"/>
        <v>55.620583658133036</v>
      </c>
    </row>
    <row r="52" spans="2:15">
      <c r="B52" s="78"/>
      <c r="C52" s="90"/>
      <c r="D52" s="90"/>
      <c r="E52" s="90"/>
      <c r="F52" s="90"/>
      <c r="G52" s="90"/>
      <c r="H52" s="90"/>
      <c r="I52" s="90"/>
      <c r="J52" s="90"/>
      <c r="K52" s="90"/>
      <c r="L52" s="90"/>
      <c r="M52" s="90"/>
      <c r="N52" s="90"/>
      <c r="O52" s="90"/>
    </row>
    <row r="53" spans="2:15" ht="18.600000000000001">
      <c r="B53" s="84" t="s">
        <v>153</v>
      </c>
      <c r="C53" s="80">
        <v>0.1</v>
      </c>
      <c r="D53" s="80">
        <f t="shared" ref="D53:O53" si="29">C53</f>
        <v>0.1</v>
      </c>
      <c r="E53" s="80">
        <f t="shared" si="29"/>
        <v>0.1</v>
      </c>
      <c r="F53" s="80">
        <f t="shared" si="29"/>
        <v>0.1</v>
      </c>
      <c r="G53" s="80">
        <f t="shared" si="29"/>
        <v>0.1</v>
      </c>
      <c r="H53" s="80">
        <f t="shared" si="29"/>
        <v>0.1</v>
      </c>
      <c r="I53" s="80">
        <f t="shared" si="29"/>
        <v>0.1</v>
      </c>
      <c r="J53" s="80">
        <f t="shared" si="29"/>
        <v>0.1</v>
      </c>
      <c r="K53" s="80">
        <f t="shared" si="29"/>
        <v>0.1</v>
      </c>
      <c r="L53" s="80">
        <f t="shared" si="29"/>
        <v>0.1</v>
      </c>
      <c r="M53" s="80">
        <f t="shared" si="29"/>
        <v>0.1</v>
      </c>
      <c r="N53" s="80">
        <f t="shared" si="29"/>
        <v>0.1</v>
      </c>
      <c r="O53" s="80">
        <f t="shared" si="29"/>
        <v>0.1</v>
      </c>
    </row>
    <row r="54" spans="2:15">
      <c r="B54" s="78"/>
      <c r="C54" s="80"/>
      <c r="D54" s="80"/>
      <c r="E54" s="80"/>
      <c r="F54" s="80"/>
      <c r="G54" s="80"/>
      <c r="H54" s="80"/>
      <c r="I54" s="80"/>
      <c r="J54" s="80"/>
      <c r="K54" s="80"/>
      <c r="L54" s="80"/>
      <c r="M54" s="80"/>
      <c r="N54" s="80"/>
      <c r="O54" s="80"/>
    </row>
    <row r="55" spans="2:15" ht="18.600000000000001">
      <c r="B55" s="84" t="s">
        <v>129</v>
      </c>
      <c r="C55" s="77">
        <v>0.1</v>
      </c>
      <c r="D55" s="77">
        <f>C55</f>
        <v>0.1</v>
      </c>
      <c r="E55" s="77">
        <f>D55</f>
        <v>0.1</v>
      </c>
      <c r="F55" s="77">
        <f t="shared" ref="F55:O55" si="30">E55</f>
        <v>0.1</v>
      </c>
      <c r="G55" s="77">
        <f t="shared" si="30"/>
        <v>0.1</v>
      </c>
      <c r="H55" s="77">
        <f t="shared" si="30"/>
        <v>0.1</v>
      </c>
      <c r="I55" s="77">
        <f t="shared" si="30"/>
        <v>0.1</v>
      </c>
      <c r="J55" s="77">
        <f t="shared" si="30"/>
        <v>0.1</v>
      </c>
      <c r="K55" s="77">
        <f t="shared" si="30"/>
        <v>0.1</v>
      </c>
      <c r="L55" s="77">
        <f t="shared" si="30"/>
        <v>0.1</v>
      </c>
      <c r="M55" s="77">
        <f t="shared" si="30"/>
        <v>0.1</v>
      </c>
      <c r="N55" s="77">
        <f t="shared" si="30"/>
        <v>0.1</v>
      </c>
      <c r="O55" s="77">
        <f t="shared" si="30"/>
        <v>0.1</v>
      </c>
    </row>
    <row r="56" spans="2:15" ht="18.600000000000001">
      <c r="B56" s="84"/>
      <c r="C56" s="77"/>
      <c r="D56" s="77"/>
    </row>
    <row r="57" spans="2:15" ht="55.8">
      <c r="B57" s="84" t="s">
        <v>130</v>
      </c>
      <c r="C57" s="120">
        <f>'7-Cálculos'!D9</f>
        <v>7.3960975609756105E-2</v>
      </c>
      <c r="D57" s="120">
        <f>'7-Cálculos'!E9</f>
        <v>7.3460975609756105E-2</v>
      </c>
      <c r="E57" s="120">
        <f>'7-Cálculos'!F9</f>
        <v>7.2960975609756104E-2</v>
      </c>
      <c r="F57" s="120">
        <f>'7-Cálculos'!G9</f>
        <v>7.2460975609756104E-2</v>
      </c>
      <c r="G57" s="120">
        <f>'7-Cálculos'!H9</f>
        <v>7.1960975609756103E-2</v>
      </c>
      <c r="H57" s="120">
        <f>'7-Cálculos'!I9</f>
        <v>7.1460975609756103E-2</v>
      </c>
      <c r="I57" s="120">
        <f>'7-Cálculos'!J9</f>
        <v>7.0960975609756102E-2</v>
      </c>
      <c r="J57" s="120">
        <f>'7-Cálculos'!K9</f>
        <v>7.0460975609756102E-2</v>
      </c>
      <c r="K57" s="120">
        <f>'7-Cálculos'!L9</f>
        <v>6.9960975609756101E-2</v>
      </c>
      <c r="L57" s="120">
        <f>'7-Cálculos'!M9</f>
        <v>6.9460975609756101E-2</v>
      </c>
      <c r="M57" s="120">
        <f>'7-Cálculos'!N9</f>
        <v>6.8960975609756101E-2</v>
      </c>
      <c r="N57" s="120">
        <f>'7-Cálculos'!O9</f>
        <v>6.84609756097561E-2</v>
      </c>
      <c r="O57" s="120">
        <f>'7-Cálculos'!P9</f>
        <v>6.79609756097561E-2</v>
      </c>
    </row>
    <row r="58" spans="2:15" ht="18.600000000000001">
      <c r="B58" s="84"/>
      <c r="C58" s="77"/>
      <c r="D58" s="77"/>
    </row>
    <row r="59" spans="2:15" ht="37.200000000000003">
      <c r="B59" s="84" t="s">
        <v>131</v>
      </c>
      <c r="C59" s="79">
        <f t="shared" ref="C59:O59" si="31">SUM(C60:C66)</f>
        <v>-803.9</v>
      </c>
      <c r="D59" s="79">
        <f t="shared" si="31"/>
        <v>-695.9</v>
      </c>
      <c r="E59" s="79">
        <f t="shared" si="31"/>
        <v>-504.9</v>
      </c>
      <c r="F59" s="79">
        <f t="shared" si="31"/>
        <v>-270.89999999999998</v>
      </c>
      <c r="G59" s="79">
        <f t="shared" si="31"/>
        <v>-1559.9</v>
      </c>
      <c r="H59" s="79">
        <f t="shared" si="31"/>
        <v>-181.9</v>
      </c>
      <c r="I59" s="79">
        <f t="shared" si="31"/>
        <v>0.1</v>
      </c>
      <c r="J59" s="79">
        <f t="shared" si="31"/>
        <v>0.1</v>
      </c>
      <c r="K59" s="79">
        <f t="shared" si="31"/>
        <v>0.1</v>
      </c>
      <c r="L59" s="79">
        <f t="shared" si="31"/>
        <v>0.1</v>
      </c>
      <c r="M59" s="79">
        <f t="shared" si="31"/>
        <v>0.1</v>
      </c>
      <c r="N59" s="79">
        <f t="shared" si="31"/>
        <v>0.1</v>
      </c>
      <c r="O59" s="79">
        <f t="shared" si="31"/>
        <v>0.1</v>
      </c>
    </row>
    <row r="60" spans="2:15" ht="27.6">
      <c r="B60" s="103" t="s">
        <v>92</v>
      </c>
      <c r="C60" s="79"/>
      <c r="D60" s="79"/>
    </row>
    <row r="61" spans="2:15">
      <c r="B61" s="103" t="s">
        <v>22</v>
      </c>
      <c r="C61" s="79"/>
      <c r="D61" s="79"/>
    </row>
    <row r="62" spans="2:15">
      <c r="B62" s="103" t="s">
        <v>84</v>
      </c>
      <c r="C62" s="79">
        <f>'9-Financiamentos'!C17</f>
        <v>-804</v>
      </c>
      <c r="D62" s="79">
        <f>'9-Financiamentos'!D29</f>
        <v>-696</v>
      </c>
      <c r="E62" s="79">
        <f>'9-Financiamentos'!E29</f>
        <v>-505</v>
      </c>
      <c r="F62" s="79">
        <f>'9-Financiamentos'!F29</f>
        <v>-271</v>
      </c>
      <c r="G62" s="79">
        <f>'9-Financiamentos'!G29</f>
        <v>-1560</v>
      </c>
      <c r="H62" s="79">
        <f>'9-Financiamentos'!H29</f>
        <v>-182</v>
      </c>
      <c r="I62" s="79">
        <f>'9-Financiamentos'!I16</f>
        <v>0</v>
      </c>
      <c r="J62" s="79">
        <f>'9-Financiamentos'!J16</f>
        <v>0</v>
      </c>
      <c r="K62" s="79">
        <f>'9-Financiamentos'!K16</f>
        <v>0</v>
      </c>
      <c r="L62" s="79">
        <f>'9-Financiamentos'!L16</f>
        <v>0</v>
      </c>
      <c r="M62" s="79">
        <f>'9-Financiamentos'!M16</f>
        <v>0</v>
      </c>
      <c r="N62" s="79">
        <f>'9-Financiamentos'!N16</f>
        <v>0</v>
      </c>
      <c r="O62" s="79">
        <f>'9-Financiamentos'!O16</f>
        <v>0</v>
      </c>
    </row>
    <row r="63" spans="2:15">
      <c r="B63" s="103" t="s">
        <v>22</v>
      </c>
      <c r="C63" s="79"/>
      <c r="D63" s="79"/>
    </row>
    <row r="64" spans="2:15">
      <c r="B64" s="103" t="s">
        <v>26</v>
      </c>
      <c r="C64" s="79"/>
      <c r="D64" s="79"/>
    </row>
    <row r="65" spans="2:15">
      <c r="B65" s="103" t="s">
        <v>29</v>
      </c>
      <c r="C65" s="80">
        <v>0.1</v>
      </c>
      <c r="D65" s="80">
        <f>C65</f>
        <v>0.1</v>
      </c>
      <c r="E65" s="80">
        <f t="shared" ref="E65:O65" si="32">D65</f>
        <v>0.1</v>
      </c>
      <c r="F65" s="80">
        <f t="shared" si="32"/>
        <v>0.1</v>
      </c>
      <c r="G65" s="80">
        <f t="shared" si="32"/>
        <v>0.1</v>
      </c>
      <c r="H65" s="80">
        <f t="shared" si="32"/>
        <v>0.1</v>
      </c>
      <c r="I65" s="80">
        <f t="shared" si="32"/>
        <v>0.1</v>
      </c>
      <c r="J65" s="80">
        <f t="shared" si="32"/>
        <v>0.1</v>
      </c>
      <c r="K65" s="80">
        <f t="shared" si="32"/>
        <v>0.1</v>
      </c>
      <c r="L65" s="80">
        <f t="shared" si="32"/>
        <v>0.1</v>
      </c>
      <c r="M65" s="80">
        <f t="shared" si="32"/>
        <v>0.1</v>
      </c>
      <c r="N65" s="80">
        <f t="shared" si="32"/>
        <v>0.1</v>
      </c>
      <c r="O65" s="80">
        <f t="shared" si="32"/>
        <v>0.1</v>
      </c>
    </row>
    <row r="66" spans="2:15">
      <c r="B66" s="103" t="s">
        <v>4</v>
      </c>
      <c r="C66" s="79"/>
      <c r="D66" s="79"/>
    </row>
    <row r="67" spans="2:15">
      <c r="B67" s="81"/>
      <c r="C67" s="79"/>
      <c r="D67" s="79"/>
    </row>
    <row r="68" spans="2:15" ht="37.200000000000003">
      <c r="B68" s="84" t="s">
        <v>132</v>
      </c>
      <c r="C68" s="79">
        <f>'9-Financiamentos'!C10</f>
        <v>890</v>
      </c>
      <c r="D68" s="79">
        <f>'9-Financiamentos'!D10</f>
        <v>987</v>
      </c>
      <c r="E68" s="79">
        <f>'9-Financiamentos'!E10</f>
        <v>1121</v>
      </c>
      <c r="F68" s="79">
        <f>'9-Financiamentos'!F10</f>
        <v>1321</v>
      </c>
      <c r="G68" s="79">
        <f>'9-Financiamentos'!G10</f>
        <v>0</v>
      </c>
      <c r="H68" s="79">
        <f>'9-Financiamentos'!H10</f>
        <v>1121</v>
      </c>
      <c r="I68" s="79">
        <f>'9-Financiamentos'!I10</f>
        <v>1198</v>
      </c>
      <c r="J68" s="79">
        <f>'9-Financiamentos'!J10</f>
        <v>765</v>
      </c>
      <c r="K68" s="79">
        <f>'9-Financiamentos'!K10</f>
        <v>850</v>
      </c>
      <c r="L68" s="79">
        <f>'9-Financiamentos'!L10</f>
        <v>0</v>
      </c>
      <c r="M68" s="79">
        <f>'9-Financiamentos'!M10</f>
        <v>0</v>
      </c>
      <c r="N68" s="79">
        <f>'9-Financiamentos'!N10</f>
        <v>0</v>
      </c>
      <c r="O68" s="79">
        <f>'9-Financiamentos'!O10</f>
        <v>0</v>
      </c>
    </row>
    <row r="69" spans="2:15" ht="18.600000000000001">
      <c r="B69" s="84"/>
      <c r="C69" s="79"/>
      <c r="D69" s="79"/>
    </row>
    <row r="70" spans="2:15" ht="37.200000000000003">
      <c r="B70" s="84" t="s">
        <v>133</v>
      </c>
      <c r="C70" s="79">
        <v>2000</v>
      </c>
      <c r="D70" s="79">
        <v>2000</v>
      </c>
      <c r="E70" s="79">
        <v>1500</v>
      </c>
      <c r="F70" s="79">
        <v>1500</v>
      </c>
      <c r="G70" s="79">
        <f>'8-Investimentos'!G30</f>
        <v>3830</v>
      </c>
      <c r="H70" s="79">
        <f>'8-Investimentos'!H30</f>
        <v>3830</v>
      </c>
      <c r="I70" s="79">
        <f>'8-Investimentos'!I30</f>
        <v>3830</v>
      </c>
      <c r="J70" s="79">
        <f>'8-Investimentos'!J30</f>
        <v>3830</v>
      </c>
      <c r="K70" s="79">
        <f>'8-Investimentos'!K30</f>
        <v>3830</v>
      </c>
      <c r="L70" s="79">
        <f>'8-Investimentos'!L30</f>
        <v>3830</v>
      </c>
      <c r="M70" s="79">
        <f>'8-Investimentos'!M30</f>
        <v>3830</v>
      </c>
      <c r="N70" s="79">
        <f>'8-Investimentos'!N30</f>
        <v>3830</v>
      </c>
      <c r="O70" s="79">
        <f>'8-Investimentos'!O30</f>
        <v>3830</v>
      </c>
    </row>
    <row r="71" spans="2:15" ht="18.600000000000001">
      <c r="B71" s="84"/>
      <c r="C71" s="80">
        <v>0.01</v>
      </c>
      <c r="D71" s="203">
        <f>C71</f>
        <v>0.01</v>
      </c>
      <c r="E71" s="203">
        <f t="shared" ref="E71:O71" si="33">D71</f>
        <v>0.01</v>
      </c>
      <c r="F71" s="203">
        <f t="shared" si="33"/>
        <v>0.01</v>
      </c>
      <c r="G71" s="203">
        <f t="shared" si="33"/>
        <v>0.01</v>
      </c>
      <c r="H71" s="203">
        <f t="shared" si="33"/>
        <v>0.01</v>
      </c>
      <c r="I71" s="203">
        <f t="shared" si="33"/>
        <v>0.01</v>
      </c>
      <c r="J71" s="203">
        <f t="shared" si="33"/>
        <v>0.01</v>
      </c>
      <c r="K71" s="203">
        <f t="shared" si="33"/>
        <v>0.01</v>
      </c>
      <c r="L71" s="203">
        <f t="shared" si="33"/>
        <v>0.01</v>
      </c>
      <c r="M71" s="203">
        <f t="shared" si="33"/>
        <v>0.01</v>
      </c>
      <c r="N71" s="203">
        <f t="shared" si="33"/>
        <v>0.01</v>
      </c>
      <c r="O71" s="203">
        <f t="shared" si="33"/>
        <v>0.01</v>
      </c>
    </row>
    <row r="72" spans="2:15" ht="18.600000000000001">
      <c r="B72" s="84"/>
      <c r="C72" s="79"/>
      <c r="D72" s="79"/>
    </row>
    <row r="73" spans="2:15" ht="37.200000000000003">
      <c r="B73" s="84" t="s">
        <v>177</v>
      </c>
      <c r="C73" s="77">
        <v>0.5</v>
      </c>
      <c r="D73" s="77">
        <v>0.5</v>
      </c>
      <c r="E73" s="77">
        <f>D73</f>
        <v>0.5</v>
      </c>
      <c r="F73" s="77">
        <f t="shared" ref="F73:O73" si="34">E73</f>
        <v>0.5</v>
      </c>
      <c r="G73" s="77">
        <v>0.75</v>
      </c>
      <c r="H73" s="77">
        <f t="shared" si="34"/>
        <v>0.75</v>
      </c>
      <c r="I73" s="77">
        <f t="shared" si="34"/>
        <v>0.75</v>
      </c>
      <c r="J73" s="77">
        <f t="shared" si="34"/>
        <v>0.75</v>
      </c>
      <c r="K73" s="77">
        <f>J73</f>
        <v>0.75</v>
      </c>
      <c r="L73" s="77">
        <f t="shared" si="34"/>
        <v>0.75</v>
      </c>
      <c r="M73" s="77">
        <f t="shared" si="34"/>
        <v>0.75</v>
      </c>
      <c r="N73" s="77">
        <f t="shared" si="34"/>
        <v>0.75</v>
      </c>
      <c r="O73" s="77">
        <f t="shared" si="34"/>
        <v>0.75</v>
      </c>
    </row>
    <row r="74" spans="2:15" ht="18.600000000000001">
      <c r="B74" s="84"/>
      <c r="C74" s="77"/>
      <c r="D74" s="77"/>
    </row>
    <row r="75" spans="2:15" ht="18.600000000000001">
      <c r="B75" s="84" t="s">
        <v>196</v>
      </c>
      <c r="H75" s="126"/>
      <c r="I75" s="126"/>
    </row>
    <row r="76" spans="2:15" ht="18.600000000000001">
      <c r="B76" s="84" t="s">
        <v>197</v>
      </c>
      <c r="C76" s="398">
        <v>2.3660000000000001</v>
      </c>
      <c r="D76" s="398"/>
      <c r="E76" s="127"/>
      <c r="H76" s="126"/>
      <c r="I76" s="126"/>
    </row>
    <row r="77" spans="2:15" ht="18.600000000000001">
      <c r="B77" s="84"/>
      <c r="C77" s="401" t="s">
        <v>190</v>
      </c>
      <c r="D77" s="401"/>
      <c r="E77" s="401" t="s">
        <v>191</v>
      </c>
      <c r="F77" s="401"/>
      <c r="G77" s="401" t="s">
        <v>192</v>
      </c>
      <c r="H77" s="401"/>
      <c r="I77" s="401"/>
    </row>
    <row r="78" spans="2:15">
      <c r="B78" s="125" t="s">
        <v>193</v>
      </c>
      <c r="C78" s="395">
        <v>749949429</v>
      </c>
      <c r="D78" s="395"/>
      <c r="E78" s="399">
        <f>66.8/$C$76</f>
        <v>28.233305156382077</v>
      </c>
      <c r="F78" s="399"/>
      <c r="G78" s="396">
        <f>C78*E78</f>
        <v>21173551080.811493</v>
      </c>
      <c r="H78" s="396"/>
      <c r="I78" s="396"/>
    </row>
    <row r="79" spans="2:15" ht="15">
      <c r="B79" s="125" t="s">
        <v>194</v>
      </c>
      <c r="C79" s="402">
        <v>415727739</v>
      </c>
      <c r="D79" s="402"/>
      <c r="E79" s="400">
        <f>57.16/$C$76</f>
        <v>24.15891800507185</v>
      </c>
      <c r="F79" s="400"/>
      <c r="G79" s="397">
        <f>C79*E79</f>
        <v>10043532358.934912</v>
      </c>
      <c r="H79" s="397"/>
      <c r="I79" s="397"/>
    </row>
    <row r="80" spans="2:15">
      <c r="B80" s="125" t="s">
        <v>195</v>
      </c>
      <c r="C80" s="395">
        <f>SUM(C78:C79)</f>
        <v>1165677168</v>
      </c>
      <c r="D80" s="395"/>
      <c r="F80" s="254"/>
      <c r="G80" s="396">
        <f>SUM(G78:G79)</f>
        <v>31217083439.746407</v>
      </c>
      <c r="H80" s="396"/>
      <c r="I80" s="396"/>
    </row>
    <row r="82" spans="2:3" ht="18.600000000000001">
      <c r="B82" s="84" t="s">
        <v>212</v>
      </c>
      <c r="C82" s="255">
        <v>0.03</v>
      </c>
    </row>
    <row r="84" spans="2:3">
      <c r="C84" s="207"/>
    </row>
  </sheetData>
  <mergeCells count="12">
    <mergeCell ref="C80:D80"/>
    <mergeCell ref="G78:I78"/>
    <mergeCell ref="G79:I79"/>
    <mergeCell ref="G80:I80"/>
    <mergeCell ref="C76:D76"/>
    <mergeCell ref="E78:F78"/>
    <mergeCell ref="E79:F79"/>
    <mergeCell ref="G77:I77"/>
    <mergeCell ref="E77:F77"/>
    <mergeCell ref="C77:D77"/>
    <mergeCell ref="C78:D78"/>
    <mergeCell ref="C79:D79"/>
  </mergeCells>
  <phoneticPr fontId="0" type="noConversion"/>
  <hyperlinks>
    <hyperlink ref="B1" location="Índice!A1" display="Voltar" xr:uid="{00000000-0004-0000-0400-000000000000}"/>
  </hyperlinks>
  <pageMargins left="0.15748031496062992" right="0.19685039370078741" top="0.23622047244094491" bottom="0.27559055118110237" header="0.15748031496062992" footer="0.19685039370078741"/>
  <pageSetup paperSize="9" scale="84" fitToHeight="4"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Plan15">
    <tabColor indexed="14"/>
  </sheetPr>
  <dimension ref="A1:BW108"/>
  <sheetViews>
    <sheetView showGridLines="0" zoomScale="85" zoomScaleNormal="85" workbookViewId="0">
      <pane xSplit="1" ySplit="5" topLeftCell="B61" activePane="bottomRight" state="frozen"/>
      <selection activeCell="D10" sqref="D10"/>
      <selection pane="topRight" activeCell="D10" sqref="D10"/>
      <selection pane="bottomLeft" activeCell="D10" sqref="D10"/>
      <selection pane="bottomRight" activeCell="C22" sqref="B22:C22"/>
    </sheetView>
  </sheetViews>
  <sheetFormatPr defaultColWidth="11" defaultRowHeight="15.75" customHeight="1"/>
  <cols>
    <col min="1" max="1" width="53.109375" style="2" bestFit="1" customWidth="1"/>
    <col min="2" max="2" width="6.44140625" style="48" bestFit="1" customWidth="1"/>
    <col min="3" max="4" width="6.6640625" style="2" bestFit="1" customWidth="1"/>
    <col min="5" max="5" width="10.5546875" style="2" bestFit="1" customWidth="1"/>
    <col min="6" max="6" width="10.88671875" style="2" bestFit="1" customWidth="1"/>
    <col min="7" max="7" width="10.44140625" style="2" bestFit="1" customWidth="1"/>
    <col min="8" max="8" width="10.88671875" style="2" bestFit="1" customWidth="1"/>
    <col min="9" max="12" width="10.5546875" style="2" bestFit="1" customWidth="1"/>
    <col min="13" max="13" width="10.88671875" style="2" bestFit="1" customWidth="1"/>
    <col min="14" max="14" width="10.44140625" style="2" bestFit="1" customWidth="1"/>
    <col min="15" max="15" width="10.88671875" style="2" bestFit="1" customWidth="1"/>
    <col min="16" max="16" width="10.44140625" style="2" bestFit="1" customWidth="1"/>
    <col min="17" max="17" width="9.5546875" style="2" customWidth="1"/>
    <col min="18" max="73" width="4.109375" style="2" customWidth="1"/>
    <col min="74" max="16384" width="11" style="2"/>
  </cols>
  <sheetData>
    <row r="1" spans="1:75" ht="15.75" customHeight="1">
      <c r="A1" s="393" t="s">
        <v>353</v>
      </c>
    </row>
    <row r="2" spans="1:75" ht="13.8">
      <c r="A2" s="15" t="s">
        <v>100</v>
      </c>
      <c r="B2" s="37"/>
    </row>
    <row r="3" spans="1:75" ht="13.8">
      <c r="A3" s="34" t="s">
        <v>76</v>
      </c>
      <c r="B3" s="39"/>
      <c r="P3" s="20" t="s">
        <v>352</v>
      </c>
    </row>
    <row r="4" spans="1:75" ht="13.8">
      <c r="A4" s="249"/>
      <c r="B4" s="49"/>
    </row>
    <row r="5" spans="1:75" ht="13.8">
      <c r="A5" s="250"/>
      <c r="B5" s="40">
        <f>DATE(YEAR(C5)-1,12,31)</f>
        <v>41274</v>
      </c>
      <c r="C5" s="40">
        <f>DATE(YEAR(D5)-1,12,31)</f>
        <v>41639</v>
      </c>
      <c r="D5" s="180">
        <f>DATE(Início!H10,12,31)</f>
        <v>42004</v>
      </c>
      <c r="E5" s="40">
        <f>DATE(YEAR(D5)+1,12,31)</f>
        <v>42369</v>
      </c>
      <c r="F5" s="40">
        <f>DATE(YEAR(E5)+1,12,31)</f>
        <v>42735</v>
      </c>
      <c r="G5" s="40">
        <f t="shared" ref="G5:Q5" si="0">DATE(YEAR(F5)+1,12,31)</f>
        <v>43100</v>
      </c>
      <c r="H5" s="40">
        <f t="shared" si="0"/>
        <v>43465</v>
      </c>
      <c r="I5" s="40">
        <f t="shared" si="0"/>
        <v>43830</v>
      </c>
      <c r="J5" s="40">
        <f t="shared" si="0"/>
        <v>44196</v>
      </c>
      <c r="K5" s="40">
        <f t="shared" si="0"/>
        <v>44561</v>
      </c>
      <c r="L5" s="40">
        <f t="shared" si="0"/>
        <v>44926</v>
      </c>
      <c r="M5" s="40">
        <f t="shared" si="0"/>
        <v>45291</v>
      </c>
      <c r="N5" s="40">
        <f t="shared" si="0"/>
        <v>45657</v>
      </c>
      <c r="O5" s="40">
        <f t="shared" si="0"/>
        <v>46022</v>
      </c>
      <c r="P5" s="40">
        <f t="shared" si="0"/>
        <v>46387</v>
      </c>
      <c r="Q5" s="40">
        <f t="shared" si="0"/>
        <v>46752</v>
      </c>
    </row>
    <row r="6" spans="1:75" ht="14.4" thickBot="1">
      <c r="A6" s="16" t="s">
        <v>72</v>
      </c>
      <c r="B6" s="41"/>
      <c r="C6" s="20"/>
      <c r="D6" s="181"/>
      <c r="E6" s="20"/>
      <c r="F6" s="20"/>
      <c r="G6" s="20"/>
      <c r="H6" s="20"/>
      <c r="I6" s="20"/>
      <c r="J6" s="20"/>
      <c r="K6" s="20"/>
      <c r="L6" s="20"/>
      <c r="M6" s="20"/>
      <c r="N6" s="20"/>
      <c r="O6" s="20"/>
      <c r="P6" s="20"/>
      <c r="Q6" s="20"/>
    </row>
    <row r="7" spans="1:75" s="3" customFormat="1" ht="13.8">
      <c r="A7" s="97" t="s">
        <v>0</v>
      </c>
      <c r="B7" s="42"/>
      <c r="C7" s="59"/>
      <c r="D7" s="182"/>
      <c r="E7" s="59"/>
      <c r="F7" s="59"/>
      <c r="G7" s="59"/>
      <c r="H7" s="59"/>
      <c r="I7" s="59"/>
      <c r="J7" s="59"/>
      <c r="K7" s="59"/>
      <c r="L7" s="59"/>
      <c r="M7" s="59"/>
      <c r="N7" s="59"/>
      <c r="O7" s="59"/>
      <c r="P7" s="59"/>
      <c r="Q7" s="59"/>
    </row>
    <row r="8" spans="1:75" ht="13.8">
      <c r="A8" s="29" t="s">
        <v>1</v>
      </c>
      <c r="B8" s="20">
        <v>1091</v>
      </c>
      <c r="C8" s="20">
        <v>585</v>
      </c>
      <c r="D8" s="181">
        <v>1249</v>
      </c>
      <c r="E8" s="20">
        <f>'5-FC'!C61</f>
        <v>533.88662461670901</v>
      </c>
      <c r="F8" s="20">
        <f>'5-FC'!D61</f>
        <v>748.71051432809691</v>
      </c>
      <c r="G8" s="20">
        <f>'5-FC'!E61</f>
        <v>2291.4634892186391</v>
      </c>
      <c r="H8" s="20">
        <f>'5-FC'!F61</f>
        <v>4519.757133256313</v>
      </c>
      <c r="I8" s="20">
        <f>'5-FC'!G61</f>
        <v>1149.8631464418731</v>
      </c>
      <c r="J8" s="20">
        <f>'5-FC'!H61</f>
        <v>263.20252498449281</v>
      </c>
      <c r="K8" s="20">
        <f>'5-FC'!I61</f>
        <v>885.67263918917206</v>
      </c>
      <c r="L8" s="20">
        <f>'5-FC'!J61</f>
        <v>1992.3077184526232</v>
      </c>
      <c r="M8" s="20">
        <f>'5-FC'!K61</f>
        <v>3851.6520229777711</v>
      </c>
      <c r="N8" s="20">
        <f>'5-FC'!L61</f>
        <v>5676.2810939502051</v>
      </c>
      <c r="O8" s="20">
        <f>'5-FC'!M61</f>
        <v>8737.3836771992883</v>
      </c>
      <c r="P8" s="20">
        <f>'5-FC'!N61</f>
        <v>13262.748820316125</v>
      </c>
      <c r="Q8" s="20">
        <f>'5-FC'!O61</f>
        <v>19372.731396894556</v>
      </c>
      <c r="BV8" s="2">
        <f>B8-C8</f>
        <v>506</v>
      </c>
      <c r="BW8" s="2">
        <f>C8-D8</f>
        <v>-664</v>
      </c>
    </row>
    <row r="9" spans="1:75" ht="13.8">
      <c r="A9" s="70" t="s">
        <v>2</v>
      </c>
      <c r="B9" s="25">
        <v>660</v>
      </c>
      <c r="C9" s="25">
        <v>818</v>
      </c>
      <c r="D9" s="183">
        <v>1029</v>
      </c>
      <c r="E9" s="25">
        <f>'13-Ciclo'!G9/360*'4-DRE'!C19</f>
        <v>2262.3438648622782</v>
      </c>
      <c r="F9" s="25">
        <f>'13-Ciclo'!H9/360*'4-DRE'!D19</f>
        <v>2658.0387456774711</v>
      </c>
      <c r="G9" s="25">
        <f>'13-Ciclo'!I9/360*'4-DRE'!E19</f>
        <v>3038.2385778911121</v>
      </c>
      <c r="H9" s="25">
        <f>'13-Ciclo'!J9/360*'4-DRE'!F19</f>
        <v>3441.6106870752869</v>
      </c>
      <c r="I9" s="25">
        <f>'13-Ciclo'!K9/360*'4-DRE'!G19</f>
        <v>3908.4062430560912</v>
      </c>
      <c r="J9" s="25">
        <f>'13-Ciclo'!L9/360*'4-DRE'!H19</f>
        <v>4443.4256988793486</v>
      </c>
      <c r="K9" s="25">
        <f>'13-Ciclo'!M9/360*'4-DRE'!I19</f>
        <v>4516.8540257621435</v>
      </c>
      <c r="L9" s="25">
        <f>'13-Ciclo'!N9/360*'4-DRE'!J19</f>
        <v>4596.7741609361792</v>
      </c>
      <c r="M9" s="25">
        <f>'13-Ciclo'!O9/360*'4-DRE'!K19</f>
        <v>4788.3939457551869</v>
      </c>
      <c r="N9" s="25">
        <f>'13-Ciclo'!P9/360*'4-DRE'!L19</f>
        <v>5175.5821768124342</v>
      </c>
      <c r="O9" s="25">
        <f>'13-Ciclo'!Q9/360*'4-DRE'!M19</f>
        <v>5595.131050433818</v>
      </c>
      <c r="P9" s="25">
        <f>'13-Ciclo'!R9/360*'4-DRE'!N19</f>
        <v>6049.7875841715158</v>
      </c>
      <c r="Q9" s="25">
        <f>'13-Ciclo'!S9/360*'4-DRE'!O19</f>
        <v>6542.5350096437287</v>
      </c>
      <c r="BV9" s="65">
        <f>B9-C9</f>
        <v>-158</v>
      </c>
      <c r="BW9" s="65">
        <f>C9-D9</f>
        <v>-211</v>
      </c>
    </row>
    <row r="10" spans="1:75" ht="13.8">
      <c r="A10" s="70" t="s">
        <v>17</v>
      </c>
      <c r="B10" s="20">
        <v>49</v>
      </c>
      <c r="C10" s="20">
        <v>56</v>
      </c>
      <c r="D10" s="181">
        <v>56</v>
      </c>
      <c r="E10" s="20">
        <v>56</v>
      </c>
      <c r="F10" s="20">
        <v>56</v>
      </c>
      <c r="G10" s="20">
        <v>56</v>
      </c>
      <c r="H10" s="20">
        <v>56</v>
      </c>
      <c r="I10" s="20">
        <v>56</v>
      </c>
      <c r="J10" s="20">
        <v>56</v>
      </c>
      <c r="K10" s="20">
        <v>56</v>
      </c>
      <c r="L10" s="20">
        <v>56</v>
      </c>
      <c r="M10" s="20">
        <v>56</v>
      </c>
      <c r="N10" s="20">
        <v>56</v>
      </c>
      <c r="O10" s="20">
        <v>56</v>
      </c>
      <c r="P10" s="20">
        <v>56</v>
      </c>
      <c r="Q10" s="20">
        <v>56</v>
      </c>
      <c r="BV10" s="65">
        <f t="shared" ref="BV10:BW14" si="1">B10-C10</f>
        <v>-7</v>
      </c>
      <c r="BW10" s="65">
        <f t="shared" si="1"/>
        <v>0</v>
      </c>
    </row>
    <row r="11" spans="1:75" ht="13.8">
      <c r="A11" s="29" t="s">
        <v>3</v>
      </c>
      <c r="B11" s="20">
        <v>292</v>
      </c>
      <c r="C11" s="20">
        <v>505</v>
      </c>
      <c r="D11" s="181">
        <v>849</v>
      </c>
      <c r="E11" s="20">
        <f>'13-Ciclo'!G9/360*-'4-DRE'!C28</f>
        <v>779.11879978931756</v>
      </c>
      <c r="F11" s="20">
        <f>'13-Ciclo'!H9/360*-'4-DRE'!D28</f>
        <v>878.33155758827661</v>
      </c>
      <c r="G11" s="20">
        <f>'13-Ciclo'!I9/360*-'4-DRE'!E28</f>
        <v>1012.4756321507831</v>
      </c>
      <c r="H11" s="20">
        <f>'13-Ciclo'!J9/360*-'4-DRE'!F28</f>
        <v>1156.435789214022</v>
      </c>
      <c r="I11" s="20">
        <f>'13-Ciclo'!K9/360*-'4-DRE'!G28</f>
        <v>1322.6612261013745</v>
      </c>
      <c r="J11" s="20">
        <f>'13-Ciclo'!L9/360*-'4-DRE'!H28</f>
        <v>1514.7323504279439</v>
      </c>
      <c r="K11" s="20">
        <f>'13-Ciclo'!M9/360*-'4-DRE'!I28</f>
        <v>1608.7523064412489</v>
      </c>
      <c r="L11" s="20">
        <f>'13-Ciclo'!N9/360*-'4-DRE'!J28</f>
        <v>1708.6895808602369</v>
      </c>
      <c r="M11" s="20">
        <f>'13-Ciclo'!O9/360*-'4-DRE'!K28</f>
        <v>1858.0808082627832</v>
      </c>
      <c r="N11" s="20">
        <f>'13-Ciclo'!P9/360*-'4-DRE'!L28</f>
        <v>2020.7225301597691</v>
      </c>
      <c r="O11" s="20">
        <f>'13-Ciclo'!Q9/360*-'4-DRE'!M28</f>
        <v>2197.8009539167119</v>
      </c>
      <c r="P11" s="20">
        <f>'13-Ciclo'!R9/360*-'4-DRE'!N28</f>
        <v>2390.6091994381568</v>
      </c>
      <c r="Q11" s="20">
        <f>'13-Ciclo'!S9/360*-'4-DRE'!O28</f>
        <v>2600.5569835976221</v>
      </c>
      <c r="BV11" s="65">
        <f t="shared" si="1"/>
        <v>-213</v>
      </c>
      <c r="BW11" s="65">
        <f t="shared" si="1"/>
        <v>-344</v>
      </c>
    </row>
    <row r="12" spans="1:75" ht="13.8">
      <c r="A12" s="29" t="s">
        <v>19</v>
      </c>
      <c r="B12" s="20">
        <v>211</v>
      </c>
      <c r="C12" s="20">
        <v>91</v>
      </c>
      <c r="D12" s="181">
        <v>203</v>
      </c>
      <c r="E12" s="20">
        <v>203</v>
      </c>
      <c r="F12" s="20">
        <v>203</v>
      </c>
      <c r="G12" s="20">
        <v>203</v>
      </c>
      <c r="H12" s="20">
        <v>203</v>
      </c>
      <c r="I12" s="20">
        <v>203</v>
      </c>
      <c r="J12" s="20">
        <v>203</v>
      </c>
      <c r="K12" s="20">
        <v>203</v>
      </c>
      <c r="L12" s="20">
        <v>203</v>
      </c>
      <c r="M12" s="20">
        <v>203</v>
      </c>
      <c r="N12" s="20">
        <v>203</v>
      </c>
      <c r="O12" s="20">
        <v>203</v>
      </c>
      <c r="P12" s="20">
        <v>203</v>
      </c>
      <c r="Q12" s="20">
        <v>203</v>
      </c>
      <c r="BV12" s="65">
        <f t="shared" si="1"/>
        <v>120</v>
      </c>
      <c r="BW12" s="65">
        <f t="shared" si="1"/>
        <v>-112</v>
      </c>
    </row>
    <row r="13" spans="1:75" ht="13.8">
      <c r="A13" s="29" t="s">
        <v>20</v>
      </c>
      <c r="B13" s="20"/>
      <c r="C13" s="20">
        <v>214</v>
      </c>
      <c r="D13" s="181">
        <v>285</v>
      </c>
      <c r="E13" s="20">
        <v>285</v>
      </c>
      <c r="F13" s="20">
        <v>285</v>
      </c>
      <c r="G13" s="20">
        <v>285</v>
      </c>
      <c r="H13" s="20">
        <v>285</v>
      </c>
      <c r="I13" s="20">
        <v>285</v>
      </c>
      <c r="J13" s="20">
        <v>285</v>
      </c>
      <c r="K13" s="20">
        <v>285</v>
      </c>
      <c r="L13" s="20">
        <v>285</v>
      </c>
      <c r="M13" s="20">
        <v>285</v>
      </c>
      <c r="N13" s="20">
        <v>285</v>
      </c>
      <c r="O13" s="20">
        <v>285</v>
      </c>
      <c r="P13" s="20">
        <v>285</v>
      </c>
      <c r="Q13" s="20">
        <v>285</v>
      </c>
      <c r="BV13" s="65">
        <f t="shared" si="1"/>
        <v>-214</v>
      </c>
      <c r="BW13" s="65">
        <f t="shared" si="1"/>
        <v>-71</v>
      </c>
    </row>
    <row r="14" spans="1:75" ht="13.8">
      <c r="A14" s="29" t="s">
        <v>21</v>
      </c>
      <c r="B14" s="20">
        <v>286</v>
      </c>
      <c r="C14" s="20">
        <v>205</v>
      </c>
      <c r="D14" s="181">
        <v>219</v>
      </c>
      <c r="E14" s="20">
        <v>219</v>
      </c>
      <c r="F14" s="20">
        <v>219</v>
      </c>
      <c r="G14" s="20">
        <v>219</v>
      </c>
      <c r="H14" s="20">
        <v>219</v>
      </c>
      <c r="I14" s="20">
        <v>219</v>
      </c>
      <c r="J14" s="20">
        <v>219</v>
      </c>
      <c r="K14" s="20">
        <v>219</v>
      </c>
      <c r="L14" s="20">
        <v>219</v>
      </c>
      <c r="M14" s="20">
        <v>219</v>
      </c>
      <c r="N14" s="20">
        <v>219</v>
      </c>
      <c r="O14" s="20">
        <v>219</v>
      </c>
      <c r="P14" s="20">
        <v>219</v>
      </c>
      <c r="Q14" s="20">
        <v>219</v>
      </c>
      <c r="BV14" s="65">
        <f t="shared" si="1"/>
        <v>81</v>
      </c>
      <c r="BW14" s="65">
        <f t="shared" si="1"/>
        <v>-14</v>
      </c>
    </row>
    <row r="15" spans="1:75" ht="13.8">
      <c r="A15" s="31" t="s">
        <v>101</v>
      </c>
      <c r="B15" s="43">
        <f t="shared" ref="B15:Q15" si="2">B8+B9+B10+B11+B12+B13+B14</f>
        <v>2589</v>
      </c>
      <c r="C15" s="43">
        <f t="shared" si="2"/>
        <v>2474</v>
      </c>
      <c r="D15" s="184">
        <f t="shared" si="2"/>
        <v>3890</v>
      </c>
      <c r="E15" s="43">
        <f t="shared" si="2"/>
        <v>4338.3492892683043</v>
      </c>
      <c r="F15" s="43">
        <f t="shared" si="2"/>
        <v>5048.0808175938446</v>
      </c>
      <c r="G15" s="43">
        <f t="shared" si="2"/>
        <v>7105.1776992605337</v>
      </c>
      <c r="H15" s="43">
        <f t="shared" si="2"/>
        <v>9880.8036095456209</v>
      </c>
      <c r="I15" s="43">
        <f t="shared" si="2"/>
        <v>7143.9306155993381</v>
      </c>
      <c r="J15" s="43">
        <f t="shared" si="2"/>
        <v>6984.3605742917853</v>
      </c>
      <c r="K15" s="43">
        <f t="shared" si="2"/>
        <v>7774.2789713925649</v>
      </c>
      <c r="L15" s="43">
        <f t="shared" si="2"/>
        <v>9060.7714602490396</v>
      </c>
      <c r="M15" s="43">
        <f t="shared" si="2"/>
        <v>11261.126776995741</v>
      </c>
      <c r="N15" s="43">
        <f t="shared" si="2"/>
        <v>13635.585800922407</v>
      </c>
      <c r="O15" s="43">
        <f t="shared" si="2"/>
        <v>17293.315681549819</v>
      </c>
      <c r="P15" s="43">
        <f t="shared" si="2"/>
        <v>22466.145603925797</v>
      </c>
      <c r="Q15" s="43">
        <f t="shared" si="2"/>
        <v>29278.823390135905</v>
      </c>
    </row>
    <row r="16" spans="1:75" ht="13.8">
      <c r="A16" s="19"/>
      <c r="B16" s="43"/>
      <c r="C16" s="43"/>
      <c r="D16" s="184"/>
      <c r="E16" s="43"/>
      <c r="F16" s="43"/>
      <c r="G16" s="43"/>
      <c r="H16" s="43"/>
      <c r="I16" s="43"/>
      <c r="J16" s="43"/>
      <c r="K16" s="43"/>
      <c r="L16" s="43"/>
      <c r="M16" s="43"/>
      <c r="N16" s="43"/>
      <c r="O16" s="43"/>
      <c r="P16" s="43"/>
      <c r="Q16" s="43"/>
    </row>
    <row r="17" spans="1:75" s="3" customFormat="1" ht="13.8">
      <c r="A17" s="17" t="s">
        <v>5</v>
      </c>
      <c r="B17" s="26"/>
      <c r="C17" s="43"/>
      <c r="D17" s="184"/>
      <c r="E17" s="43"/>
      <c r="F17" s="43"/>
      <c r="G17" s="43"/>
      <c r="H17" s="43"/>
      <c r="I17" s="43"/>
      <c r="J17" s="43"/>
      <c r="K17" s="43"/>
      <c r="L17" s="43"/>
      <c r="M17" s="43"/>
      <c r="N17" s="43"/>
      <c r="O17" s="43"/>
      <c r="P17" s="43"/>
      <c r="Q17" s="43"/>
    </row>
    <row r="18" spans="1:75" ht="13.8">
      <c r="A18" s="20"/>
      <c r="B18" s="20"/>
      <c r="C18" s="62"/>
      <c r="D18" s="185"/>
      <c r="E18" s="62"/>
      <c r="F18" s="62"/>
      <c r="G18" s="62"/>
      <c r="H18" s="62"/>
      <c r="I18" s="62"/>
      <c r="J18" s="62"/>
      <c r="K18" s="62"/>
      <c r="L18" s="62"/>
      <c r="M18" s="62"/>
      <c r="N18" s="62"/>
      <c r="O18" s="62"/>
      <c r="P18" s="62"/>
      <c r="Q18" s="62"/>
    </row>
    <row r="19" spans="1:75" s="3" customFormat="1" ht="13.8">
      <c r="A19" s="17" t="s">
        <v>6</v>
      </c>
      <c r="B19" s="42"/>
      <c r="C19" s="42"/>
      <c r="D19" s="186"/>
      <c r="E19" s="42"/>
      <c r="F19" s="42"/>
      <c r="G19" s="42"/>
      <c r="H19" s="42"/>
      <c r="I19" s="42"/>
      <c r="J19" s="42"/>
      <c r="K19" s="42"/>
      <c r="L19" s="42"/>
      <c r="M19" s="42"/>
      <c r="N19" s="42"/>
      <c r="O19" s="42"/>
      <c r="P19" s="42"/>
      <c r="Q19" s="42"/>
    </row>
    <row r="20" spans="1:75" ht="13.8">
      <c r="A20" s="18" t="s">
        <v>150</v>
      </c>
      <c r="B20" s="20">
        <v>732</v>
      </c>
      <c r="C20" s="20">
        <v>1034</v>
      </c>
      <c r="D20" s="181">
        <v>1159</v>
      </c>
      <c r="E20" s="20">
        <v>1159</v>
      </c>
      <c r="F20" s="20">
        <f t="shared" ref="F20:Q20" si="3">E20</f>
        <v>1159</v>
      </c>
      <c r="G20" s="20">
        <f t="shared" si="3"/>
        <v>1159</v>
      </c>
      <c r="H20" s="20">
        <f t="shared" si="3"/>
        <v>1159</v>
      </c>
      <c r="I20" s="20">
        <f t="shared" si="3"/>
        <v>1159</v>
      </c>
      <c r="J20" s="20">
        <f t="shared" si="3"/>
        <v>1159</v>
      </c>
      <c r="K20" s="20">
        <f t="shared" si="3"/>
        <v>1159</v>
      </c>
      <c r="L20" s="20">
        <f t="shared" si="3"/>
        <v>1159</v>
      </c>
      <c r="M20" s="20">
        <f t="shared" si="3"/>
        <v>1159</v>
      </c>
      <c r="N20" s="20">
        <f t="shared" si="3"/>
        <v>1159</v>
      </c>
      <c r="O20" s="20">
        <f t="shared" si="3"/>
        <v>1159</v>
      </c>
      <c r="P20" s="20">
        <f t="shared" si="3"/>
        <v>1159</v>
      </c>
      <c r="Q20" s="20">
        <f t="shared" si="3"/>
        <v>1159</v>
      </c>
      <c r="BV20" s="65">
        <f>B20-C20</f>
        <v>-302</v>
      </c>
      <c r="BW20" s="65">
        <f>C20-D20</f>
        <v>-125</v>
      </c>
    </row>
    <row r="21" spans="1:75" ht="13.8">
      <c r="A21" s="18" t="s">
        <v>151</v>
      </c>
      <c r="B21" s="20">
        <v>5093</v>
      </c>
      <c r="C21" s="20">
        <v>9306</v>
      </c>
      <c r="D21" s="181">
        <v>12812</v>
      </c>
      <c r="E21" s="20">
        <f>D21+'2-Premissas'!C70</f>
        <v>14812</v>
      </c>
      <c r="F21" s="20">
        <f>E21+'2-Premissas'!D70</f>
        <v>16812</v>
      </c>
      <c r="G21" s="20">
        <f>F21+'2-Premissas'!E70</f>
        <v>18312</v>
      </c>
      <c r="H21" s="20">
        <f>G21+'2-Premissas'!F70</f>
        <v>19812</v>
      </c>
      <c r="I21" s="20">
        <f>H21+'2-Premissas'!G70</f>
        <v>23642</v>
      </c>
      <c r="J21" s="20">
        <f>I21+'2-Premissas'!H70</f>
        <v>27472</v>
      </c>
      <c r="K21" s="20">
        <f>J21+'2-Premissas'!I70</f>
        <v>31302</v>
      </c>
      <c r="L21" s="20">
        <f>K21+'2-Premissas'!J70</f>
        <v>35132</v>
      </c>
      <c r="M21" s="20">
        <f>L21+'2-Premissas'!K70</f>
        <v>38962</v>
      </c>
      <c r="N21" s="20">
        <f>M21+'2-Premissas'!L70</f>
        <v>42792</v>
      </c>
      <c r="O21" s="20">
        <f>N21+'2-Premissas'!M70</f>
        <v>46622</v>
      </c>
      <c r="P21" s="20">
        <f>O21+'2-Premissas'!N70</f>
        <v>50452</v>
      </c>
      <c r="Q21" s="20">
        <f>P21+'2-Premissas'!O70</f>
        <v>54282</v>
      </c>
      <c r="BV21" s="65">
        <f>B21-C21</f>
        <v>-4213</v>
      </c>
      <c r="BW21" s="65">
        <f>C21-D21</f>
        <v>-3506</v>
      </c>
    </row>
    <row r="22" spans="1:75" ht="13.8">
      <c r="A22" s="18" t="s">
        <v>149</v>
      </c>
      <c r="B22" s="364">
        <v>-1796</v>
      </c>
      <c r="C22" s="364">
        <v>-2822</v>
      </c>
      <c r="D22" s="363">
        <v>-3749</v>
      </c>
      <c r="E22" s="364">
        <f>D22+'4-DRE'!C36</f>
        <v>-4389.6000000000004</v>
      </c>
      <c r="F22" s="364">
        <f>E22+'4-DRE'!D36</f>
        <v>-5130.2000000000007</v>
      </c>
      <c r="G22" s="364">
        <f>F22+'4-DRE'!E36</f>
        <v>-5970.8000000000011</v>
      </c>
      <c r="H22" s="364">
        <f>G22+'4-DRE'!F36</f>
        <v>-6886.4000000000015</v>
      </c>
      <c r="I22" s="364">
        <f>H22+'4-DRE'!G36</f>
        <v>-7877.0000000000018</v>
      </c>
      <c r="J22" s="364">
        <f>I22+'4-DRE'!H36</f>
        <v>-9059.1000000000022</v>
      </c>
      <c r="K22" s="364">
        <f>J22+'4-DRE'!I36</f>
        <v>-10432.700000000003</v>
      </c>
      <c r="L22" s="364">
        <f>K22+'4-DRE'!J36</f>
        <v>-11997.800000000003</v>
      </c>
      <c r="M22" s="364">
        <f>L22+'4-DRE'!K36</f>
        <v>-13754.400000000003</v>
      </c>
      <c r="N22" s="364">
        <f>M22+'4-DRE'!L36</f>
        <v>-15702.500000000004</v>
      </c>
      <c r="O22" s="364">
        <f>N22+'4-DRE'!M36</f>
        <v>-17842.100000000002</v>
      </c>
      <c r="P22" s="364">
        <f>O22+'4-DRE'!N36</f>
        <v>-20173.2</v>
      </c>
      <c r="Q22" s="364">
        <f>P22+'4-DRE'!O36</f>
        <v>-22695.800000000003</v>
      </c>
      <c r="BV22" s="65"/>
      <c r="BW22" s="65"/>
    </row>
    <row r="23" spans="1:75" ht="13.8">
      <c r="A23" s="18" t="s">
        <v>67</v>
      </c>
      <c r="B23" s="20"/>
      <c r="C23" s="20"/>
      <c r="D23" s="181"/>
      <c r="E23" s="20"/>
      <c r="F23" s="20"/>
      <c r="G23" s="20"/>
      <c r="H23" s="20"/>
      <c r="I23" s="20"/>
      <c r="J23" s="20"/>
      <c r="K23" s="20"/>
      <c r="L23" s="20"/>
      <c r="M23" s="20"/>
      <c r="N23" s="20"/>
      <c r="O23" s="20"/>
      <c r="P23" s="20"/>
      <c r="Q23" s="20"/>
    </row>
    <row r="24" spans="1:75" ht="13.8">
      <c r="A24" s="19" t="s">
        <v>102</v>
      </c>
      <c r="B24" s="43">
        <f t="shared" ref="B24:Q24" si="4">SUM(B20:B23)</f>
        <v>4029</v>
      </c>
      <c r="C24" s="43">
        <f t="shared" si="4"/>
        <v>7518</v>
      </c>
      <c r="D24" s="184">
        <f t="shared" si="4"/>
        <v>10222</v>
      </c>
      <c r="E24" s="43">
        <f t="shared" si="4"/>
        <v>11581.4</v>
      </c>
      <c r="F24" s="43">
        <f t="shared" si="4"/>
        <v>12840.8</v>
      </c>
      <c r="G24" s="43">
        <f t="shared" si="4"/>
        <v>13500.199999999999</v>
      </c>
      <c r="H24" s="43">
        <f t="shared" si="4"/>
        <v>14084.599999999999</v>
      </c>
      <c r="I24" s="43">
        <f t="shared" si="4"/>
        <v>16924</v>
      </c>
      <c r="J24" s="43">
        <f t="shared" si="4"/>
        <v>19571.899999999998</v>
      </c>
      <c r="K24" s="43">
        <f t="shared" si="4"/>
        <v>22028.299999999996</v>
      </c>
      <c r="L24" s="43">
        <f t="shared" si="4"/>
        <v>24293.199999999997</v>
      </c>
      <c r="M24" s="43">
        <f t="shared" si="4"/>
        <v>26366.6</v>
      </c>
      <c r="N24" s="43">
        <f t="shared" si="4"/>
        <v>28248.499999999996</v>
      </c>
      <c r="O24" s="43">
        <f t="shared" si="4"/>
        <v>29938.899999999998</v>
      </c>
      <c r="P24" s="43">
        <f t="shared" si="4"/>
        <v>31437.8</v>
      </c>
      <c r="Q24" s="43">
        <f t="shared" si="4"/>
        <v>32745.199999999997</v>
      </c>
    </row>
    <row r="25" spans="1:75" ht="13.8">
      <c r="A25" s="21"/>
      <c r="B25" s="43"/>
      <c r="C25" s="43"/>
      <c r="D25" s="184"/>
      <c r="E25" s="43"/>
      <c r="F25" s="43"/>
      <c r="G25" s="43"/>
      <c r="H25" s="43"/>
      <c r="I25" s="43"/>
      <c r="J25" s="43"/>
      <c r="K25" s="43"/>
      <c r="L25" s="43"/>
      <c r="M25" s="43"/>
      <c r="N25" s="43"/>
      <c r="O25" s="43"/>
      <c r="P25" s="43"/>
      <c r="Q25" s="43"/>
    </row>
    <row r="26" spans="1:75" ht="13.8">
      <c r="A26" s="22" t="s">
        <v>23</v>
      </c>
      <c r="B26" s="20"/>
      <c r="C26" s="20"/>
      <c r="D26" s="181"/>
      <c r="E26" s="20"/>
      <c r="F26" s="20"/>
      <c r="G26" s="20"/>
      <c r="H26" s="20"/>
      <c r="I26" s="20"/>
      <c r="J26" s="20"/>
      <c r="K26" s="20"/>
      <c r="L26" s="20"/>
      <c r="M26" s="20"/>
      <c r="N26" s="20"/>
      <c r="O26" s="20"/>
      <c r="P26" s="20"/>
      <c r="Q26" s="20"/>
    </row>
    <row r="27" spans="1:75" ht="13.8">
      <c r="A27" s="21" t="s">
        <v>117</v>
      </c>
      <c r="B27" s="20">
        <v>412</v>
      </c>
      <c r="C27" s="20">
        <v>451</v>
      </c>
      <c r="D27" s="181">
        <v>486</v>
      </c>
      <c r="E27" s="20">
        <v>486</v>
      </c>
      <c r="F27" s="20">
        <v>486</v>
      </c>
      <c r="G27" s="20">
        <v>486</v>
      </c>
      <c r="H27" s="20">
        <v>486</v>
      </c>
      <c r="I27" s="20">
        <v>486</v>
      </c>
      <c r="J27" s="20">
        <v>486</v>
      </c>
      <c r="K27" s="20">
        <v>486</v>
      </c>
      <c r="L27" s="20">
        <v>486</v>
      </c>
      <c r="M27" s="20">
        <v>486</v>
      </c>
      <c r="N27" s="20">
        <v>486</v>
      </c>
      <c r="O27" s="20">
        <v>486</v>
      </c>
      <c r="P27" s="20">
        <v>486</v>
      </c>
      <c r="Q27" s="20">
        <v>486</v>
      </c>
      <c r="BV27" s="65">
        <f>B27-C27</f>
        <v>-39</v>
      </c>
      <c r="BW27" s="65">
        <f>C27-D27</f>
        <v>-35</v>
      </c>
    </row>
    <row r="28" spans="1:75" ht="13.8">
      <c r="A28" s="22" t="s">
        <v>17</v>
      </c>
      <c r="B28" s="25">
        <f t="shared" ref="B28:Q28" si="5">SUM(B29:B30)</f>
        <v>162</v>
      </c>
      <c r="C28" s="25">
        <f t="shared" si="5"/>
        <v>108</v>
      </c>
      <c r="D28" s="183">
        <f t="shared" si="5"/>
        <v>111</v>
      </c>
      <c r="E28" s="25">
        <f t="shared" si="5"/>
        <v>111</v>
      </c>
      <c r="F28" s="25">
        <f t="shared" si="5"/>
        <v>111</v>
      </c>
      <c r="G28" s="25">
        <f t="shared" si="5"/>
        <v>111</v>
      </c>
      <c r="H28" s="25">
        <f t="shared" si="5"/>
        <v>111</v>
      </c>
      <c r="I28" s="25">
        <f t="shared" si="5"/>
        <v>111</v>
      </c>
      <c r="J28" s="25">
        <f t="shared" si="5"/>
        <v>111</v>
      </c>
      <c r="K28" s="25">
        <f t="shared" si="5"/>
        <v>111</v>
      </c>
      <c r="L28" s="25">
        <f t="shared" si="5"/>
        <v>111</v>
      </c>
      <c r="M28" s="25">
        <f t="shared" si="5"/>
        <v>111</v>
      </c>
      <c r="N28" s="25">
        <f t="shared" si="5"/>
        <v>111</v>
      </c>
      <c r="O28" s="25">
        <f t="shared" si="5"/>
        <v>111</v>
      </c>
      <c r="P28" s="25">
        <f t="shared" si="5"/>
        <v>111</v>
      </c>
      <c r="Q28" s="25">
        <f t="shared" si="5"/>
        <v>111</v>
      </c>
      <c r="BV28" s="65">
        <f>B28-C28</f>
        <v>54</v>
      </c>
      <c r="BW28" s="65">
        <f>C28-D28</f>
        <v>-3</v>
      </c>
    </row>
    <row r="29" spans="1:75" ht="13.8">
      <c r="A29" s="21" t="s">
        <v>22</v>
      </c>
      <c r="B29" s="20">
        <v>89</v>
      </c>
      <c r="C29" s="20">
        <v>40</v>
      </c>
      <c r="D29" s="181">
        <v>55</v>
      </c>
      <c r="E29" s="20">
        <v>55</v>
      </c>
      <c r="F29" s="20">
        <v>55</v>
      </c>
      <c r="G29" s="20">
        <v>55</v>
      </c>
      <c r="H29" s="20">
        <v>55</v>
      </c>
      <c r="I29" s="20">
        <v>55</v>
      </c>
      <c r="J29" s="20">
        <v>55</v>
      </c>
      <c r="K29" s="20">
        <v>55</v>
      </c>
      <c r="L29" s="20">
        <v>55</v>
      </c>
      <c r="M29" s="20">
        <v>55</v>
      </c>
      <c r="N29" s="20">
        <v>55</v>
      </c>
      <c r="O29" s="20">
        <v>55</v>
      </c>
      <c r="P29" s="20">
        <v>55</v>
      </c>
      <c r="Q29" s="20">
        <v>55</v>
      </c>
    </row>
    <row r="30" spans="1:75" ht="13.8">
      <c r="A30" s="21" t="s">
        <v>4</v>
      </c>
      <c r="B30" s="20">
        <v>73</v>
      </c>
      <c r="C30" s="20">
        <v>68</v>
      </c>
      <c r="D30" s="181">
        <v>56</v>
      </c>
      <c r="E30" s="20">
        <v>56</v>
      </c>
      <c r="F30" s="20">
        <v>56</v>
      </c>
      <c r="G30" s="20">
        <v>56</v>
      </c>
      <c r="H30" s="20">
        <v>56</v>
      </c>
      <c r="I30" s="20">
        <v>56</v>
      </c>
      <c r="J30" s="20">
        <v>56</v>
      </c>
      <c r="K30" s="20">
        <v>56</v>
      </c>
      <c r="L30" s="20">
        <v>56</v>
      </c>
      <c r="M30" s="20">
        <v>56</v>
      </c>
      <c r="N30" s="20">
        <v>56</v>
      </c>
      <c r="O30" s="20">
        <v>56</v>
      </c>
      <c r="P30" s="20">
        <v>56</v>
      </c>
      <c r="Q30" s="20">
        <v>56</v>
      </c>
    </row>
    <row r="31" spans="1:75" ht="13.8">
      <c r="A31" s="21" t="s">
        <v>119</v>
      </c>
      <c r="B31" s="20">
        <v>79</v>
      </c>
      <c r="C31" s="20">
        <v>82</v>
      </c>
      <c r="D31" s="181">
        <v>170</v>
      </c>
      <c r="E31" s="20">
        <v>170</v>
      </c>
      <c r="F31" s="20">
        <v>170</v>
      </c>
      <c r="G31" s="20">
        <v>170</v>
      </c>
      <c r="H31" s="20">
        <v>170</v>
      </c>
      <c r="I31" s="20">
        <v>170</v>
      </c>
      <c r="J31" s="20">
        <v>170</v>
      </c>
      <c r="K31" s="20">
        <v>170</v>
      </c>
      <c r="L31" s="20">
        <v>170</v>
      </c>
      <c r="M31" s="20">
        <v>170</v>
      </c>
      <c r="N31" s="20">
        <v>170</v>
      </c>
      <c r="O31" s="20">
        <v>170</v>
      </c>
      <c r="P31" s="20">
        <v>170</v>
      </c>
      <c r="Q31" s="20">
        <v>170</v>
      </c>
      <c r="BV31" s="65">
        <f t="shared" ref="BV31:BW35" si="6">B31-C31</f>
        <v>-3</v>
      </c>
      <c r="BW31" s="65">
        <f t="shared" si="6"/>
        <v>-88</v>
      </c>
    </row>
    <row r="32" spans="1:75" ht="13.8">
      <c r="A32" s="21" t="s">
        <v>19</v>
      </c>
      <c r="B32" s="20">
        <v>358</v>
      </c>
      <c r="C32" s="20">
        <v>234</v>
      </c>
      <c r="D32" s="181">
        <v>70</v>
      </c>
      <c r="E32" s="20">
        <v>70</v>
      </c>
      <c r="F32" s="20">
        <v>70</v>
      </c>
      <c r="G32" s="20">
        <v>70</v>
      </c>
      <c r="H32" s="20">
        <v>70</v>
      </c>
      <c r="I32" s="20">
        <v>70</v>
      </c>
      <c r="J32" s="20">
        <v>70</v>
      </c>
      <c r="K32" s="20">
        <v>70</v>
      </c>
      <c r="L32" s="20">
        <v>70</v>
      </c>
      <c r="M32" s="20">
        <v>70</v>
      </c>
      <c r="N32" s="20">
        <v>70</v>
      </c>
      <c r="O32" s="20">
        <v>70</v>
      </c>
      <c r="P32" s="20">
        <v>70</v>
      </c>
      <c r="Q32" s="20">
        <v>70</v>
      </c>
      <c r="BV32" s="65">
        <f t="shared" si="6"/>
        <v>124</v>
      </c>
      <c r="BW32" s="65">
        <f t="shared" si="6"/>
        <v>164</v>
      </c>
    </row>
    <row r="33" spans="1:75" ht="13.8">
      <c r="A33" s="21" t="s">
        <v>120</v>
      </c>
      <c r="B33" s="20">
        <v>239</v>
      </c>
      <c r="C33" s="20">
        <v>407</v>
      </c>
      <c r="D33" s="181">
        <v>531</v>
      </c>
      <c r="E33" s="20">
        <v>531</v>
      </c>
      <c r="F33" s="20">
        <v>531</v>
      </c>
      <c r="G33" s="20">
        <v>531</v>
      </c>
      <c r="H33" s="20">
        <v>531</v>
      </c>
      <c r="I33" s="20">
        <v>531</v>
      </c>
      <c r="J33" s="20">
        <v>531</v>
      </c>
      <c r="K33" s="20">
        <v>531</v>
      </c>
      <c r="L33" s="20">
        <v>531</v>
      </c>
      <c r="M33" s="20">
        <v>531</v>
      </c>
      <c r="N33" s="20">
        <v>531</v>
      </c>
      <c r="O33" s="20">
        <v>531</v>
      </c>
      <c r="P33" s="20">
        <v>531</v>
      </c>
      <c r="Q33" s="20">
        <v>531</v>
      </c>
      <c r="BV33" s="65">
        <f t="shared" si="6"/>
        <v>-168</v>
      </c>
      <c r="BW33" s="65">
        <f t="shared" si="6"/>
        <v>-124</v>
      </c>
    </row>
    <row r="34" spans="1:75" ht="13.8">
      <c r="A34" s="21" t="s">
        <v>121</v>
      </c>
      <c r="B34" s="20">
        <v>3</v>
      </c>
      <c r="C34" s="20">
        <v>5</v>
      </c>
      <c r="D34" s="181">
        <v>4</v>
      </c>
      <c r="E34" s="20">
        <v>4</v>
      </c>
      <c r="F34" s="20">
        <v>4</v>
      </c>
      <c r="G34" s="20">
        <v>4</v>
      </c>
      <c r="H34" s="20">
        <v>4</v>
      </c>
      <c r="I34" s="20">
        <v>4</v>
      </c>
      <c r="J34" s="20">
        <v>4</v>
      </c>
      <c r="K34" s="20">
        <v>4</v>
      </c>
      <c r="L34" s="20">
        <v>4</v>
      </c>
      <c r="M34" s="20">
        <v>4</v>
      </c>
      <c r="N34" s="20">
        <v>4</v>
      </c>
      <c r="O34" s="20">
        <v>4</v>
      </c>
      <c r="P34" s="20">
        <v>4</v>
      </c>
      <c r="Q34" s="20">
        <v>4</v>
      </c>
      <c r="BV34" s="65">
        <f t="shared" si="6"/>
        <v>-2</v>
      </c>
      <c r="BW34" s="65">
        <f t="shared" si="6"/>
        <v>1</v>
      </c>
    </row>
    <row r="35" spans="1:75" ht="13.8">
      <c r="A35" s="21" t="s">
        <v>4</v>
      </c>
      <c r="B35" s="20">
        <v>84</v>
      </c>
      <c r="C35" s="20">
        <v>155</v>
      </c>
      <c r="D35" s="181">
        <v>231</v>
      </c>
      <c r="E35" s="20">
        <v>231</v>
      </c>
      <c r="F35" s="20">
        <v>231</v>
      </c>
      <c r="G35" s="20">
        <v>231</v>
      </c>
      <c r="H35" s="20">
        <v>231</v>
      </c>
      <c r="I35" s="20">
        <v>231</v>
      </c>
      <c r="J35" s="20">
        <v>231</v>
      </c>
      <c r="K35" s="20">
        <v>231</v>
      </c>
      <c r="L35" s="20">
        <v>231</v>
      </c>
      <c r="M35" s="20">
        <v>231</v>
      </c>
      <c r="N35" s="20">
        <v>231</v>
      </c>
      <c r="O35" s="20">
        <v>231</v>
      </c>
      <c r="P35" s="20">
        <v>231</v>
      </c>
      <c r="Q35" s="20">
        <v>231</v>
      </c>
      <c r="BV35" s="65">
        <f t="shared" si="6"/>
        <v>-71</v>
      </c>
      <c r="BW35" s="65">
        <f t="shared" si="6"/>
        <v>-76</v>
      </c>
    </row>
    <row r="36" spans="1:75" ht="13.8">
      <c r="A36" s="19" t="s">
        <v>103</v>
      </c>
      <c r="B36" s="25">
        <f t="shared" ref="B36:Q36" si="7">B27+B28+B31+B32+B33+B34+B35</f>
        <v>1337</v>
      </c>
      <c r="C36" s="25">
        <f t="shared" si="7"/>
        <v>1442</v>
      </c>
      <c r="D36" s="183">
        <f t="shared" si="7"/>
        <v>1603</v>
      </c>
      <c r="E36" s="25">
        <f t="shared" si="7"/>
        <v>1603</v>
      </c>
      <c r="F36" s="25">
        <f t="shared" si="7"/>
        <v>1603</v>
      </c>
      <c r="G36" s="25">
        <f t="shared" si="7"/>
        <v>1603</v>
      </c>
      <c r="H36" s="25">
        <f t="shared" si="7"/>
        <v>1603</v>
      </c>
      <c r="I36" s="25">
        <f t="shared" si="7"/>
        <v>1603</v>
      </c>
      <c r="J36" s="25">
        <f t="shared" si="7"/>
        <v>1603</v>
      </c>
      <c r="K36" s="25">
        <f t="shared" si="7"/>
        <v>1603</v>
      </c>
      <c r="L36" s="25">
        <f t="shared" si="7"/>
        <v>1603</v>
      </c>
      <c r="M36" s="25">
        <f t="shared" si="7"/>
        <v>1603</v>
      </c>
      <c r="N36" s="25">
        <f t="shared" si="7"/>
        <v>1603</v>
      </c>
      <c r="O36" s="25">
        <f t="shared" si="7"/>
        <v>1603</v>
      </c>
      <c r="P36" s="25">
        <f t="shared" si="7"/>
        <v>1603</v>
      </c>
      <c r="Q36" s="25">
        <f t="shared" si="7"/>
        <v>1603</v>
      </c>
    </row>
    <row r="37" spans="1:75" ht="14.4" thickBot="1">
      <c r="A37" s="19"/>
      <c r="B37" s="25"/>
      <c r="C37" s="43"/>
      <c r="D37" s="184"/>
      <c r="E37" s="43"/>
      <c r="F37" s="43"/>
      <c r="G37" s="43"/>
      <c r="H37" s="43"/>
      <c r="I37" s="43"/>
      <c r="J37" s="43"/>
      <c r="K37" s="43"/>
      <c r="L37" s="43"/>
      <c r="M37" s="43"/>
      <c r="N37" s="43"/>
      <c r="O37" s="43"/>
      <c r="P37" s="43"/>
      <c r="Q37" s="43"/>
    </row>
    <row r="38" spans="1:75" s="4" customFormat="1" ht="16.2" thickBot="1">
      <c r="A38" s="23" t="s">
        <v>73</v>
      </c>
      <c r="B38" s="44">
        <f t="shared" ref="B38:Q38" si="8">SUM(B15+B17+B24+B36)</f>
        <v>7955</v>
      </c>
      <c r="C38" s="44">
        <f t="shared" si="8"/>
        <v>11434</v>
      </c>
      <c r="D38" s="187">
        <f t="shared" si="8"/>
        <v>15715</v>
      </c>
      <c r="E38" s="44">
        <f t="shared" si="8"/>
        <v>17522.749289268304</v>
      </c>
      <c r="F38" s="44">
        <f t="shared" si="8"/>
        <v>19491.880817593843</v>
      </c>
      <c r="G38" s="44">
        <f t="shared" si="8"/>
        <v>22208.377699260534</v>
      </c>
      <c r="H38" s="44">
        <f t="shared" si="8"/>
        <v>25568.403609545618</v>
      </c>
      <c r="I38" s="44">
        <f t="shared" si="8"/>
        <v>25670.93061559934</v>
      </c>
      <c r="J38" s="44">
        <f t="shared" si="8"/>
        <v>28159.260574291784</v>
      </c>
      <c r="K38" s="44">
        <f t="shared" si="8"/>
        <v>31405.578971392562</v>
      </c>
      <c r="L38" s="44">
        <f t="shared" si="8"/>
        <v>34956.971460249035</v>
      </c>
      <c r="M38" s="44">
        <f t="shared" si="8"/>
        <v>39230.72677699574</v>
      </c>
      <c r="N38" s="44">
        <f t="shared" si="8"/>
        <v>43487.085800922403</v>
      </c>
      <c r="O38" s="44">
        <f t="shared" si="8"/>
        <v>48835.215681549817</v>
      </c>
      <c r="P38" s="44">
        <f t="shared" si="8"/>
        <v>55506.945603925793</v>
      </c>
      <c r="Q38" s="44">
        <f t="shared" si="8"/>
        <v>63627.023390135902</v>
      </c>
      <c r="BV38" s="73">
        <f>SUM(BV8:BV37)</f>
        <v>-4505</v>
      </c>
      <c r="BW38" s="4">
        <f>SUM(BW8:BW37)</f>
        <v>-5208</v>
      </c>
    </row>
    <row r="39" spans="1:75" s="4" customFormat="1" ht="15.6">
      <c r="A39" s="20"/>
      <c r="B39" s="20"/>
      <c r="C39" s="20"/>
      <c r="D39" s="181"/>
      <c r="E39" s="20"/>
      <c r="F39" s="20"/>
      <c r="G39" s="20"/>
      <c r="H39" s="20"/>
      <c r="I39" s="20"/>
      <c r="J39" s="20"/>
      <c r="K39" s="20"/>
      <c r="L39" s="20"/>
      <c r="M39" s="20"/>
      <c r="N39" s="20"/>
      <c r="O39" s="20"/>
      <c r="P39" s="20"/>
      <c r="Q39" s="20"/>
      <c r="BV39" s="4">
        <f>C39-BV38</f>
        <v>4505</v>
      </c>
      <c r="BW39" s="4">
        <f>D39-BW38</f>
        <v>5208</v>
      </c>
    </row>
    <row r="40" spans="1:75" s="4" customFormat="1" ht="16.2" thickBot="1">
      <c r="A40" s="16" t="s">
        <v>74</v>
      </c>
      <c r="B40" s="45"/>
      <c r="C40" s="38"/>
      <c r="D40" s="188"/>
      <c r="E40" s="38"/>
      <c r="F40" s="38"/>
      <c r="G40" s="38"/>
      <c r="H40" s="38"/>
      <c r="I40" s="38"/>
      <c r="J40" s="38"/>
      <c r="K40" s="38"/>
      <c r="L40" s="38"/>
      <c r="M40" s="38"/>
      <c r="N40" s="38"/>
      <c r="O40" s="38"/>
      <c r="P40" s="38"/>
      <c r="Q40" s="38"/>
    </row>
    <row r="41" spans="1:75" ht="13.8">
      <c r="A41" s="24"/>
      <c r="B41" s="24"/>
      <c r="C41" s="60"/>
      <c r="D41" s="189"/>
      <c r="E41" s="60"/>
      <c r="F41" s="60"/>
      <c r="G41" s="60"/>
      <c r="H41" s="60"/>
      <c r="I41" s="60"/>
      <c r="J41" s="60"/>
      <c r="K41" s="60"/>
      <c r="L41" s="60"/>
      <c r="M41" s="60"/>
      <c r="N41" s="60"/>
      <c r="O41" s="60"/>
      <c r="P41" s="60"/>
      <c r="Q41" s="60"/>
    </row>
    <row r="42" spans="1:75" s="3" customFormat="1" ht="13.8">
      <c r="A42" s="17" t="s">
        <v>0</v>
      </c>
      <c r="B42" s="42"/>
      <c r="C42" s="42"/>
      <c r="D42" s="186"/>
      <c r="E42" s="42"/>
      <c r="F42" s="42"/>
      <c r="G42" s="42"/>
      <c r="H42" s="42"/>
      <c r="I42" s="42"/>
      <c r="J42" s="42"/>
      <c r="K42" s="42"/>
      <c r="L42" s="42"/>
      <c r="M42" s="42"/>
      <c r="N42" s="42"/>
      <c r="O42" s="42"/>
      <c r="P42" s="42"/>
      <c r="Q42" s="42"/>
    </row>
    <row r="43" spans="1:75" ht="13.8">
      <c r="A43" s="18" t="s">
        <v>16</v>
      </c>
      <c r="B43" s="20">
        <v>365</v>
      </c>
      <c r="C43" s="20">
        <v>482</v>
      </c>
      <c r="D43" s="181">
        <v>689</v>
      </c>
      <c r="E43" s="20">
        <f>'2-Premissas'!C51/360*'13-Ciclo'!G22</f>
        <v>713.60612453871499</v>
      </c>
      <c r="F43" s="20">
        <f>'2-Premissas'!D51/360*'13-Ciclo'!H22</f>
        <v>831.97666435180679</v>
      </c>
      <c r="G43" s="20">
        <f>'2-Premissas'!E51/360*'13-Ciclo'!I22</f>
        <v>962.09702055640821</v>
      </c>
      <c r="H43" s="20">
        <f>'2-Premissas'!F51/360*'13-Ciclo'!J22</f>
        <v>1097.4637514933247</v>
      </c>
      <c r="I43" s="20">
        <f>'2-Premissas'!G51/360*'13-Ciclo'!K22</f>
        <v>1255.4555384545358</v>
      </c>
      <c r="J43" s="20">
        <f>'2-Premissas'!H51/360*'13-Ciclo'!L22</f>
        <v>1438.0311019776514</v>
      </c>
      <c r="K43" s="20">
        <f>'2-Premissas'!I51/360*'13-Ciclo'!M22</f>
        <v>1510.2991646999972</v>
      </c>
      <c r="L43" s="20">
        <f>'2-Premissas'!J51/360*'13-Ciclo'!N22</f>
        <v>1604.1322844431502</v>
      </c>
      <c r="M43" s="20">
        <f>'2-Premissas'!K51/360*'13-Ciclo'!O22</f>
        <v>1750.6727880336985</v>
      </c>
      <c r="N43" s="20">
        <f>'2-Premissas'!L51/360*'13-Ciclo'!P22</f>
        <v>1903.9397380147088</v>
      </c>
      <c r="O43" s="20">
        <f>'2-Premissas'!M51/360*'13-Ciclo'!Q22</f>
        <v>2070.8128008329068</v>
      </c>
      <c r="P43" s="20">
        <f>'2-Premissas'!N51/360*'13-Ciclo'!R22</f>
        <v>2252.5108013927766</v>
      </c>
      <c r="Q43" s="20">
        <f>'2-Premissas'!O51/360*'13-Ciclo'!S22</f>
        <v>2450.3624694617383</v>
      </c>
      <c r="BV43" s="65">
        <f t="shared" ref="BV43:BW50" si="9">C43-B43</f>
        <v>117</v>
      </c>
      <c r="BW43" s="65">
        <f t="shared" si="9"/>
        <v>207</v>
      </c>
    </row>
    <row r="44" spans="1:75" ht="13.8">
      <c r="A44" s="18" t="s">
        <v>24</v>
      </c>
      <c r="B44" s="20">
        <v>76</v>
      </c>
      <c r="C44" s="20">
        <v>78</v>
      </c>
      <c r="D44" s="181">
        <v>141</v>
      </c>
      <c r="E44" s="20">
        <f>D44*(1+'2-Premissas'!C53)</f>
        <v>155.10000000000002</v>
      </c>
      <c r="F44" s="20">
        <f>E44*(1+'2-Premissas'!D53)</f>
        <v>170.61000000000004</v>
      </c>
      <c r="G44" s="20">
        <f>F44*(1+'2-Premissas'!E53)</f>
        <v>187.67100000000005</v>
      </c>
      <c r="H44" s="20">
        <f>G44*(1+'2-Premissas'!F53)</f>
        <v>206.43810000000008</v>
      </c>
      <c r="I44" s="20">
        <f>H44*(1+'2-Premissas'!G53)</f>
        <v>227.08191000000011</v>
      </c>
      <c r="J44" s="20">
        <f>I44*(1+'2-Premissas'!H53)</f>
        <v>249.79010100000013</v>
      </c>
      <c r="K44" s="20">
        <f>J44*(1+'2-Premissas'!I53)</f>
        <v>274.76911110000015</v>
      </c>
      <c r="L44" s="20">
        <f>K44*(1+'2-Premissas'!J53)</f>
        <v>302.24602221000021</v>
      </c>
      <c r="M44" s="20">
        <f>L44*(1+'2-Premissas'!K53)</f>
        <v>332.47062443100026</v>
      </c>
      <c r="N44" s="20">
        <f>M44*(1+'2-Premissas'!L53)</f>
        <v>365.71768687410031</v>
      </c>
      <c r="O44" s="20">
        <f>N44*(1+'2-Premissas'!M53)</f>
        <v>402.28945556151035</v>
      </c>
      <c r="P44" s="20">
        <f>O44*(1+'2-Premissas'!N53)</f>
        <v>442.51840111766143</v>
      </c>
      <c r="Q44" s="20">
        <f>P44*(1+'2-Premissas'!O53)</f>
        <v>486.7702412294276</v>
      </c>
      <c r="BV44" s="65">
        <f t="shared" si="9"/>
        <v>2</v>
      </c>
      <c r="BW44" s="65">
        <f t="shared" si="9"/>
        <v>63</v>
      </c>
    </row>
    <row r="45" spans="1:75" ht="13.8">
      <c r="A45" s="18" t="s">
        <v>152</v>
      </c>
      <c r="B45" s="20">
        <v>3</v>
      </c>
      <c r="C45" s="20">
        <v>118</v>
      </c>
      <c r="D45" s="181">
        <v>11</v>
      </c>
      <c r="E45" s="20">
        <v>11</v>
      </c>
      <c r="F45" s="20">
        <v>11</v>
      </c>
      <c r="G45" s="20">
        <v>11</v>
      </c>
      <c r="H45" s="20">
        <v>11</v>
      </c>
      <c r="I45" s="20">
        <v>11</v>
      </c>
      <c r="J45" s="20">
        <v>11</v>
      </c>
      <c r="K45" s="20">
        <v>11</v>
      </c>
      <c r="L45" s="20">
        <v>11</v>
      </c>
      <c r="M45" s="20">
        <v>11</v>
      </c>
      <c r="N45" s="20">
        <v>11</v>
      </c>
      <c r="O45" s="20">
        <v>11</v>
      </c>
      <c r="P45" s="20">
        <v>11</v>
      </c>
      <c r="Q45" s="20">
        <v>11</v>
      </c>
      <c r="BV45" s="65">
        <f t="shared" si="9"/>
        <v>115</v>
      </c>
      <c r="BW45" s="65">
        <f t="shared" si="9"/>
        <v>-107</v>
      </c>
    </row>
    <row r="46" spans="1:75" ht="13.8">
      <c r="A46" s="71" t="s">
        <v>25</v>
      </c>
      <c r="B46" s="20">
        <v>717</v>
      </c>
      <c r="C46" s="20">
        <v>1009</v>
      </c>
      <c r="D46" s="181">
        <v>730</v>
      </c>
      <c r="E46" s="20">
        <f>-'9-Financiamentos'!D32</f>
        <v>696</v>
      </c>
      <c r="F46" s="20">
        <f>-'9-Financiamentos'!E32</f>
        <v>505</v>
      </c>
      <c r="G46" s="20">
        <f>-'9-Financiamentos'!F32</f>
        <v>449</v>
      </c>
      <c r="H46" s="20">
        <f>-'9-Financiamentos'!G32</f>
        <v>1935.4</v>
      </c>
      <c r="I46" s="20">
        <f>-'9-Financiamentos'!H32</f>
        <v>781.6</v>
      </c>
      <c r="J46" s="20">
        <f>-'9-Financiamentos'!I32</f>
        <v>863.8</v>
      </c>
      <c r="K46" s="20">
        <f>-'9-Financiamentos'!J32</f>
        <v>863.8</v>
      </c>
      <c r="L46" s="20">
        <f>-'9-Financiamentos'!K32</f>
        <v>910</v>
      </c>
      <c r="M46" s="20">
        <f>-'9-Financiamentos'!L32</f>
        <v>952.2</v>
      </c>
      <c r="N46" s="20">
        <f>-'9-Financiamentos'!M32</f>
        <v>881</v>
      </c>
      <c r="O46" s="20">
        <f>-'9-Financiamentos'!N32</f>
        <v>786.80000000000007</v>
      </c>
      <c r="P46" s="20">
        <f>-'9-Financiamentos'!O32</f>
        <v>786.80000000000007</v>
      </c>
      <c r="Q46" s="20">
        <f>-'9-Financiamentos'!P32</f>
        <v>562.6</v>
      </c>
      <c r="BV46" s="65">
        <f t="shared" si="9"/>
        <v>292</v>
      </c>
      <c r="BW46" s="65">
        <f t="shared" si="9"/>
        <v>-279</v>
      </c>
    </row>
    <row r="47" spans="1:75" ht="13.8">
      <c r="A47" s="71" t="s">
        <v>26</v>
      </c>
      <c r="B47" s="20">
        <v>184</v>
      </c>
      <c r="C47" s="20">
        <v>129</v>
      </c>
      <c r="D47" s="181">
        <v>74</v>
      </c>
      <c r="E47" s="20"/>
      <c r="F47" s="20"/>
      <c r="G47" s="20"/>
      <c r="H47" s="20"/>
      <c r="I47" s="20"/>
      <c r="J47" s="20"/>
      <c r="K47" s="20"/>
      <c r="L47" s="20"/>
      <c r="M47" s="20"/>
      <c r="N47" s="20"/>
      <c r="O47" s="20"/>
      <c r="P47" s="20"/>
      <c r="Q47" s="20"/>
      <c r="BV47" s="65">
        <f t="shared" si="9"/>
        <v>-55</v>
      </c>
      <c r="BW47" s="65">
        <f t="shared" si="9"/>
        <v>-55</v>
      </c>
    </row>
    <row r="48" spans="1:75" ht="13.8">
      <c r="A48" s="71" t="s">
        <v>27</v>
      </c>
      <c r="B48" s="20">
        <v>64</v>
      </c>
      <c r="C48" s="20">
        <v>119</v>
      </c>
      <c r="D48" s="181">
        <v>52</v>
      </c>
      <c r="E48" s="20">
        <v>52</v>
      </c>
      <c r="F48" s="20">
        <v>52</v>
      </c>
      <c r="G48" s="20">
        <v>52</v>
      </c>
      <c r="H48" s="20">
        <v>52</v>
      </c>
      <c r="I48" s="20">
        <v>52</v>
      </c>
      <c r="J48" s="20">
        <v>52</v>
      </c>
      <c r="K48" s="20">
        <v>52</v>
      </c>
      <c r="L48" s="20">
        <v>52</v>
      </c>
      <c r="M48" s="20">
        <v>52</v>
      </c>
      <c r="N48" s="20">
        <v>52</v>
      </c>
      <c r="O48" s="20">
        <v>52</v>
      </c>
      <c r="P48" s="20">
        <v>52</v>
      </c>
      <c r="Q48" s="20">
        <v>52</v>
      </c>
      <c r="BV48" s="65">
        <f t="shared" si="9"/>
        <v>55</v>
      </c>
      <c r="BW48" s="65">
        <f t="shared" si="9"/>
        <v>-67</v>
      </c>
    </row>
    <row r="49" spans="1:75" ht="13.8">
      <c r="A49" s="18" t="s">
        <v>28</v>
      </c>
      <c r="B49" s="20"/>
      <c r="C49" s="20">
        <v>21</v>
      </c>
      <c r="D49" s="181">
        <v>433</v>
      </c>
      <c r="E49" s="20">
        <v>433</v>
      </c>
      <c r="F49" s="20">
        <v>433</v>
      </c>
      <c r="G49" s="20">
        <v>433</v>
      </c>
      <c r="H49" s="20">
        <v>433</v>
      </c>
      <c r="I49" s="20">
        <v>433</v>
      </c>
      <c r="J49" s="20">
        <v>433</v>
      </c>
      <c r="K49" s="20">
        <v>433</v>
      </c>
      <c r="L49" s="20">
        <v>433</v>
      </c>
      <c r="M49" s="20">
        <v>433</v>
      </c>
      <c r="N49" s="20">
        <v>433</v>
      </c>
      <c r="O49" s="20">
        <v>433</v>
      </c>
      <c r="P49" s="20">
        <v>433</v>
      </c>
      <c r="Q49" s="20">
        <v>433</v>
      </c>
      <c r="BV49" s="65">
        <f t="shared" si="9"/>
        <v>21</v>
      </c>
      <c r="BW49" s="65">
        <f t="shared" si="9"/>
        <v>412</v>
      </c>
    </row>
    <row r="50" spans="1:75" ht="13.8">
      <c r="A50" s="18" t="s">
        <v>4</v>
      </c>
      <c r="B50" s="72">
        <v>99</v>
      </c>
      <c r="C50" s="20">
        <v>297</v>
      </c>
      <c r="D50" s="181">
        <v>325</v>
      </c>
      <c r="E50" s="20">
        <v>325</v>
      </c>
      <c r="F50" s="20">
        <v>325</v>
      </c>
      <c r="G50" s="20">
        <v>325</v>
      </c>
      <c r="H50" s="20">
        <v>325</v>
      </c>
      <c r="I50" s="20">
        <v>325</v>
      </c>
      <c r="J50" s="20">
        <v>325</v>
      </c>
      <c r="K50" s="20">
        <v>325</v>
      </c>
      <c r="L50" s="20">
        <v>325</v>
      </c>
      <c r="M50" s="20">
        <v>325</v>
      </c>
      <c r="N50" s="20">
        <v>325</v>
      </c>
      <c r="O50" s="20">
        <v>325</v>
      </c>
      <c r="P50" s="20">
        <v>325</v>
      </c>
      <c r="Q50" s="20">
        <v>325</v>
      </c>
      <c r="BV50" s="65">
        <f t="shared" si="9"/>
        <v>198</v>
      </c>
      <c r="BW50" s="65">
        <f t="shared" si="9"/>
        <v>28</v>
      </c>
    </row>
    <row r="51" spans="1:75" ht="13.8">
      <c r="A51" s="19" t="s">
        <v>104</v>
      </c>
      <c r="B51" s="43">
        <f t="shared" ref="B51:Q51" si="10">SUM(B43:B50)</f>
        <v>1508</v>
      </c>
      <c r="C51" s="43">
        <f t="shared" si="10"/>
        <v>2253</v>
      </c>
      <c r="D51" s="184">
        <f t="shared" si="10"/>
        <v>2455</v>
      </c>
      <c r="E51" s="43">
        <f t="shared" si="10"/>
        <v>2385.7061245387149</v>
      </c>
      <c r="F51" s="43">
        <f t="shared" si="10"/>
        <v>2328.5866643518066</v>
      </c>
      <c r="G51" s="43">
        <f t="shared" si="10"/>
        <v>2419.7680205564084</v>
      </c>
      <c r="H51" s="43">
        <f t="shared" si="10"/>
        <v>4060.3018514933246</v>
      </c>
      <c r="I51" s="43">
        <f t="shared" si="10"/>
        <v>3085.1374484545358</v>
      </c>
      <c r="J51" s="43">
        <f t="shared" si="10"/>
        <v>3372.6212029776516</v>
      </c>
      <c r="K51" s="43">
        <f t="shared" si="10"/>
        <v>3469.8682757999973</v>
      </c>
      <c r="L51" s="43">
        <f t="shared" si="10"/>
        <v>3637.3783066531505</v>
      </c>
      <c r="M51" s="43">
        <f t="shared" si="10"/>
        <v>3856.3434124646983</v>
      </c>
      <c r="N51" s="43">
        <f t="shared" si="10"/>
        <v>3971.6574248888091</v>
      </c>
      <c r="O51" s="43">
        <f t="shared" si="10"/>
        <v>4080.9022563944172</v>
      </c>
      <c r="P51" s="43">
        <f t="shared" si="10"/>
        <v>4302.8292025104383</v>
      </c>
      <c r="Q51" s="43">
        <f t="shared" si="10"/>
        <v>4320.7327106911653</v>
      </c>
    </row>
    <row r="52" spans="1:75" ht="13.8">
      <c r="A52" s="19"/>
      <c r="B52" s="20"/>
      <c r="C52" s="20"/>
      <c r="D52" s="181"/>
      <c r="E52" s="20"/>
      <c r="F52" s="20"/>
      <c r="G52" s="20"/>
      <c r="H52" s="20"/>
      <c r="I52" s="20"/>
      <c r="J52" s="20"/>
      <c r="K52" s="20"/>
      <c r="L52" s="20"/>
      <c r="M52" s="20"/>
      <c r="N52" s="20"/>
      <c r="O52" s="20"/>
      <c r="P52" s="20"/>
      <c r="Q52" s="20"/>
    </row>
    <row r="53" spans="1:75" s="3" customFormat="1" ht="13.8">
      <c r="A53" s="17" t="s">
        <v>7</v>
      </c>
      <c r="B53" s="42"/>
      <c r="C53" s="42"/>
      <c r="D53" s="190"/>
      <c r="E53" s="85"/>
      <c r="F53" s="85"/>
      <c r="G53" s="85"/>
      <c r="H53" s="85"/>
      <c r="I53" s="85"/>
      <c r="J53" s="85"/>
      <c r="K53" s="85"/>
      <c r="L53" s="85"/>
      <c r="M53" s="85"/>
      <c r="N53" s="85"/>
      <c r="O53" s="85"/>
      <c r="P53" s="85"/>
      <c r="Q53" s="85"/>
    </row>
    <row r="54" spans="1:75" ht="13.8">
      <c r="A54" s="18" t="s">
        <v>29</v>
      </c>
      <c r="B54" s="20">
        <v>141</v>
      </c>
      <c r="C54" s="20">
        <v>198</v>
      </c>
      <c r="D54" s="185">
        <v>215</v>
      </c>
      <c r="E54" s="62">
        <f>D54*(1+'2-Premissas'!C65)</f>
        <v>236.50000000000003</v>
      </c>
      <c r="F54" s="62">
        <f>E54*(1+'2-Premissas'!D65)</f>
        <v>260.15000000000003</v>
      </c>
      <c r="G54" s="62">
        <f>F54*(1+'2-Premissas'!E65)</f>
        <v>286.16500000000008</v>
      </c>
      <c r="H54" s="62">
        <f>G54*(1+'2-Premissas'!F65)</f>
        <v>314.78150000000011</v>
      </c>
      <c r="I54" s="62">
        <f>H54*(1+'2-Premissas'!G65)</f>
        <v>346.25965000000014</v>
      </c>
      <c r="J54" s="62">
        <f>I54*(1+'2-Premissas'!H65)</f>
        <v>380.8856150000002</v>
      </c>
      <c r="K54" s="62">
        <f>J54*(1+'2-Premissas'!I65)</f>
        <v>418.97417650000023</v>
      </c>
      <c r="L54" s="62">
        <f>K54*(1+'2-Premissas'!J65)</f>
        <v>460.87159415000031</v>
      </c>
      <c r="M54" s="62">
        <f>L54*(1+'2-Premissas'!K65)</f>
        <v>506.95875356500039</v>
      </c>
      <c r="N54" s="62">
        <f>M54*(1+'2-Premissas'!L65)</f>
        <v>557.65462892150049</v>
      </c>
      <c r="O54" s="62">
        <f>N54*(1+'2-Premissas'!M65)</f>
        <v>613.42009181365063</v>
      </c>
      <c r="P54" s="62">
        <f>O54*(1+'2-Premissas'!N65)</f>
        <v>674.76210099501577</v>
      </c>
      <c r="Q54" s="62">
        <f>P54*(1+'2-Premissas'!O65)</f>
        <v>742.23831109451737</v>
      </c>
      <c r="BV54" s="65">
        <f t="shared" ref="BV54:BW59" si="11">C54-B54</f>
        <v>57</v>
      </c>
      <c r="BW54" s="65">
        <f t="shared" si="11"/>
        <v>17</v>
      </c>
    </row>
    <row r="55" spans="1:75" ht="13.8">
      <c r="A55" s="18" t="s">
        <v>26</v>
      </c>
      <c r="B55" s="20">
        <v>2359</v>
      </c>
      <c r="C55" s="20">
        <v>2767</v>
      </c>
      <c r="D55" s="181">
        <v>3214</v>
      </c>
      <c r="E55" s="20">
        <f>D55+'2-Premissas'!C68-E46</f>
        <v>3408</v>
      </c>
      <c r="F55" s="20">
        <f>E55+'2-Premissas'!D68-F46</f>
        <v>3890</v>
      </c>
      <c r="G55" s="20">
        <f>F55+'2-Premissas'!E68-G46</f>
        <v>4562</v>
      </c>
      <c r="H55" s="20">
        <f>G55+'2-Premissas'!F68-H46</f>
        <v>3947.6</v>
      </c>
      <c r="I55" s="20">
        <f>H55+'2-Premissas'!G68-I46</f>
        <v>3166</v>
      </c>
      <c r="J55" s="20">
        <f>I55+'2-Premissas'!H68-J46</f>
        <v>3423.2</v>
      </c>
      <c r="K55" s="20">
        <f>J55+'2-Premissas'!I68-K46</f>
        <v>3757.3999999999996</v>
      </c>
      <c r="L55" s="20">
        <f>K55+'2-Premissas'!J68-L46</f>
        <v>3612.3999999999996</v>
      </c>
      <c r="M55" s="20">
        <f>L55+'2-Premissas'!K68-M46</f>
        <v>3510.2</v>
      </c>
      <c r="N55" s="20">
        <f>M55+'2-Premissas'!L68-N46</f>
        <v>2629.2</v>
      </c>
      <c r="O55" s="20">
        <f>N55+'2-Premissas'!M68-O46</f>
        <v>1842.3999999999996</v>
      </c>
      <c r="P55" s="20">
        <f>O55+'2-Premissas'!N68-P46</f>
        <v>1055.5999999999995</v>
      </c>
      <c r="Q55" s="20">
        <f>P55+'2-Premissas'!O68-Q46</f>
        <v>492.99999999999943</v>
      </c>
      <c r="BV55" s="65">
        <f t="shared" si="11"/>
        <v>408</v>
      </c>
      <c r="BW55" s="65">
        <f t="shared" si="11"/>
        <v>447</v>
      </c>
    </row>
    <row r="56" spans="1:75" ht="13.8">
      <c r="A56" s="18" t="s">
        <v>27</v>
      </c>
      <c r="B56" s="20">
        <v>7</v>
      </c>
      <c r="C56" s="20">
        <v>4</v>
      </c>
      <c r="D56" s="181">
        <v>18</v>
      </c>
      <c r="E56" s="20">
        <v>18</v>
      </c>
      <c r="F56" s="20">
        <v>18</v>
      </c>
      <c r="G56" s="20">
        <v>18</v>
      </c>
      <c r="H56" s="20">
        <v>18</v>
      </c>
      <c r="I56" s="20">
        <v>18</v>
      </c>
      <c r="J56" s="20">
        <v>18</v>
      </c>
      <c r="K56" s="20">
        <v>18</v>
      </c>
      <c r="L56" s="20">
        <v>18</v>
      </c>
      <c r="M56" s="20">
        <v>18</v>
      </c>
      <c r="N56" s="20">
        <v>18</v>
      </c>
      <c r="O56" s="20">
        <v>18</v>
      </c>
      <c r="P56" s="20">
        <v>18</v>
      </c>
      <c r="Q56" s="20">
        <v>18</v>
      </c>
      <c r="BV56" s="65">
        <f t="shared" si="11"/>
        <v>-3</v>
      </c>
      <c r="BW56" s="65">
        <f t="shared" si="11"/>
        <v>14</v>
      </c>
    </row>
    <row r="57" spans="1:75" ht="13.8">
      <c r="A57" s="18" t="s">
        <v>30</v>
      </c>
      <c r="B57" s="20">
        <v>428</v>
      </c>
      <c r="C57" s="20">
        <v>635</v>
      </c>
      <c r="D57" s="181">
        <v>914</v>
      </c>
      <c r="E57" s="20">
        <v>914</v>
      </c>
      <c r="F57" s="20">
        <v>914</v>
      </c>
      <c r="G57" s="20">
        <v>914</v>
      </c>
      <c r="H57" s="20">
        <v>914</v>
      </c>
      <c r="I57" s="20">
        <v>914</v>
      </c>
      <c r="J57" s="20">
        <v>914</v>
      </c>
      <c r="K57" s="20">
        <v>914</v>
      </c>
      <c r="L57" s="20">
        <v>914</v>
      </c>
      <c r="M57" s="20">
        <v>914</v>
      </c>
      <c r="N57" s="20">
        <v>914</v>
      </c>
      <c r="O57" s="20">
        <v>914</v>
      </c>
      <c r="P57" s="20">
        <v>914</v>
      </c>
      <c r="Q57" s="20">
        <v>914</v>
      </c>
      <c r="BV57" s="65">
        <f t="shared" si="11"/>
        <v>207</v>
      </c>
      <c r="BW57" s="65">
        <f t="shared" si="11"/>
        <v>279</v>
      </c>
    </row>
    <row r="58" spans="1:75" ht="13.8">
      <c r="A58" s="18" t="s">
        <v>31</v>
      </c>
      <c r="B58" s="20">
        <v>76</v>
      </c>
      <c r="C58" s="20">
        <v>96</v>
      </c>
      <c r="D58" s="181">
        <v>236</v>
      </c>
      <c r="E58" s="20">
        <v>236</v>
      </c>
      <c r="F58" s="20">
        <v>236</v>
      </c>
      <c r="G58" s="20">
        <v>236</v>
      </c>
      <c r="H58" s="20">
        <v>236</v>
      </c>
      <c r="I58" s="20">
        <v>236</v>
      </c>
      <c r="J58" s="20">
        <v>236</v>
      </c>
      <c r="K58" s="20">
        <v>236</v>
      </c>
      <c r="L58" s="20">
        <v>236</v>
      </c>
      <c r="M58" s="20">
        <v>236</v>
      </c>
      <c r="N58" s="20">
        <v>236</v>
      </c>
      <c r="O58" s="20">
        <v>236</v>
      </c>
      <c r="P58" s="20">
        <v>236</v>
      </c>
      <c r="Q58" s="20">
        <v>236</v>
      </c>
      <c r="BV58" s="65">
        <f t="shared" si="11"/>
        <v>20</v>
      </c>
      <c r="BW58" s="65">
        <f t="shared" si="11"/>
        <v>140</v>
      </c>
    </row>
    <row r="59" spans="1:75" ht="13.8">
      <c r="A59" s="18" t="s">
        <v>4</v>
      </c>
      <c r="B59" s="20">
        <v>122</v>
      </c>
      <c r="C59" s="20">
        <v>268</v>
      </c>
      <c r="D59" s="181">
        <v>484</v>
      </c>
      <c r="E59" s="20">
        <v>484</v>
      </c>
      <c r="F59" s="20">
        <v>484</v>
      </c>
      <c r="G59" s="20">
        <v>484</v>
      </c>
      <c r="H59" s="20">
        <v>484</v>
      </c>
      <c r="I59" s="20">
        <v>484</v>
      </c>
      <c r="J59" s="20">
        <v>484</v>
      </c>
      <c r="K59" s="20">
        <v>484</v>
      </c>
      <c r="L59" s="20">
        <v>484</v>
      </c>
      <c r="M59" s="20">
        <v>484</v>
      </c>
      <c r="N59" s="20">
        <v>484</v>
      </c>
      <c r="O59" s="20">
        <v>484</v>
      </c>
      <c r="P59" s="20">
        <v>484</v>
      </c>
      <c r="Q59" s="20">
        <v>484</v>
      </c>
      <c r="BV59" s="65">
        <f t="shared" si="11"/>
        <v>146</v>
      </c>
      <c r="BW59" s="65">
        <f t="shared" si="11"/>
        <v>216</v>
      </c>
    </row>
    <row r="60" spans="1:75" ht="13.8">
      <c r="A60" s="20"/>
      <c r="B60" s="43">
        <f t="shared" ref="B60:Q60" si="12">SUM(B54:B59)</f>
        <v>3133</v>
      </c>
      <c r="C60" s="43">
        <f t="shared" si="12"/>
        <v>3968</v>
      </c>
      <c r="D60" s="184">
        <f t="shared" si="12"/>
        <v>5081</v>
      </c>
      <c r="E60" s="43">
        <f t="shared" si="12"/>
        <v>5296.5</v>
      </c>
      <c r="F60" s="43">
        <f t="shared" si="12"/>
        <v>5802.15</v>
      </c>
      <c r="G60" s="43">
        <f t="shared" si="12"/>
        <v>6500.165</v>
      </c>
      <c r="H60" s="43">
        <f t="shared" si="12"/>
        <v>5914.3815000000004</v>
      </c>
      <c r="I60" s="43">
        <f t="shared" si="12"/>
        <v>5164.25965</v>
      </c>
      <c r="J60" s="43">
        <f t="shared" si="12"/>
        <v>5456.085615</v>
      </c>
      <c r="K60" s="43">
        <f t="shared" si="12"/>
        <v>5828.3741764999995</v>
      </c>
      <c r="L60" s="43">
        <f t="shared" si="12"/>
        <v>5725.2715941500001</v>
      </c>
      <c r="M60" s="43">
        <f t="shared" si="12"/>
        <v>5669.1587535649996</v>
      </c>
      <c r="N60" s="43">
        <f t="shared" si="12"/>
        <v>4838.8546289215001</v>
      </c>
      <c r="O60" s="43">
        <f t="shared" si="12"/>
        <v>4107.8200918136499</v>
      </c>
      <c r="P60" s="43">
        <f t="shared" si="12"/>
        <v>3382.3621009950152</v>
      </c>
      <c r="Q60" s="43">
        <f t="shared" si="12"/>
        <v>2887.2383110945166</v>
      </c>
    </row>
    <row r="61" spans="1:75" s="3" customFormat="1" ht="13.8">
      <c r="A61" s="25" t="s">
        <v>8</v>
      </c>
      <c r="B61" s="25"/>
      <c r="C61" s="20"/>
      <c r="D61" s="181"/>
      <c r="E61" s="20"/>
      <c r="F61" s="20"/>
      <c r="G61" s="20"/>
      <c r="H61" s="20"/>
      <c r="I61" s="20"/>
      <c r="J61" s="20"/>
      <c r="K61" s="20"/>
      <c r="L61" s="20"/>
      <c r="M61" s="20"/>
      <c r="N61" s="20"/>
      <c r="O61" s="20"/>
      <c r="P61" s="20"/>
      <c r="Q61" s="20"/>
    </row>
    <row r="62" spans="1:75" s="3" customFormat="1" ht="13.8">
      <c r="A62" s="26" t="s">
        <v>32</v>
      </c>
      <c r="B62" s="26">
        <v>27</v>
      </c>
      <c r="C62" s="26">
        <v>329</v>
      </c>
      <c r="D62" s="191">
        <v>788</v>
      </c>
      <c r="E62" s="26">
        <v>788</v>
      </c>
      <c r="F62" s="26">
        <v>788</v>
      </c>
      <c r="G62" s="26">
        <v>788</v>
      </c>
      <c r="H62" s="26">
        <v>788</v>
      </c>
      <c r="I62" s="26">
        <v>788</v>
      </c>
      <c r="J62" s="26">
        <v>788</v>
      </c>
      <c r="K62" s="26">
        <v>788</v>
      </c>
      <c r="L62" s="26">
        <v>788</v>
      </c>
      <c r="M62" s="26">
        <v>788</v>
      </c>
      <c r="N62" s="26">
        <v>788</v>
      </c>
      <c r="O62" s="26">
        <v>788</v>
      </c>
      <c r="P62" s="26">
        <v>788</v>
      </c>
      <c r="Q62" s="26">
        <v>788</v>
      </c>
      <c r="BV62" s="65">
        <f>C62-B62</f>
        <v>302</v>
      </c>
      <c r="BW62" s="65">
        <f>D62-C62</f>
        <v>459</v>
      </c>
    </row>
    <row r="63" spans="1:75" ht="13.8">
      <c r="A63" s="20"/>
      <c r="B63" s="20"/>
      <c r="C63" s="20"/>
      <c r="D63" s="181"/>
      <c r="E63" s="20"/>
      <c r="F63" s="20"/>
      <c r="G63" s="20"/>
      <c r="H63" s="20"/>
      <c r="I63" s="20"/>
      <c r="J63" s="20"/>
      <c r="K63" s="20"/>
      <c r="L63" s="20"/>
      <c r="M63" s="20"/>
      <c r="N63" s="20"/>
      <c r="O63" s="20"/>
      <c r="P63" s="20"/>
      <c r="Q63" s="20"/>
    </row>
    <row r="64" spans="1:75" s="3" customFormat="1" ht="14.4" thickBot="1">
      <c r="A64" s="27" t="s">
        <v>9</v>
      </c>
      <c r="B64" s="46"/>
      <c r="C64" s="46"/>
      <c r="D64" s="190"/>
      <c r="E64" s="85"/>
      <c r="F64" s="85"/>
      <c r="G64" s="85"/>
      <c r="H64" s="85"/>
      <c r="I64" s="85"/>
      <c r="J64" s="85"/>
      <c r="K64" s="85"/>
      <c r="L64" s="85"/>
      <c r="M64" s="85"/>
      <c r="N64" s="85"/>
      <c r="O64" s="85"/>
      <c r="P64" s="85"/>
      <c r="Q64" s="85"/>
    </row>
    <row r="65" spans="1:75" s="7" customFormat="1" ht="13.8">
      <c r="A65" s="28" t="s">
        <v>106</v>
      </c>
      <c r="B65" s="47"/>
      <c r="C65" s="47"/>
      <c r="D65" s="192"/>
      <c r="E65" s="47"/>
      <c r="F65" s="47"/>
      <c r="G65" s="47"/>
      <c r="H65" s="47"/>
      <c r="I65" s="47"/>
      <c r="J65" s="47"/>
      <c r="K65" s="47"/>
      <c r="L65" s="47"/>
      <c r="M65" s="47"/>
      <c r="N65" s="47"/>
      <c r="O65" s="47"/>
      <c r="P65" s="47"/>
      <c r="Q65" s="47"/>
    </row>
    <row r="66" spans="1:75" ht="13.8">
      <c r="A66" s="29" t="s">
        <v>33</v>
      </c>
      <c r="B66" s="20">
        <v>904</v>
      </c>
      <c r="C66" s="20">
        <v>1055</v>
      </c>
      <c r="D66" s="181">
        <v>1176</v>
      </c>
      <c r="E66" s="20">
        <v>1176</v>
      </c>
      <c r="F66" s="20">
        <v>1176</v>
      </c>
      <c r="G66" s="20">
        <v>1176</v>
      </c>
      <c r="H66" s="20">
        <v>1176</v>
      </c>
      <c r="I66" s="20">
        <v>1176</v>
      </c>
      <c r="J66" s="20">
        <v>1176</v>
      </c>
      <c r="K66" s="20">
        <v>1176</v>
      </c>
      <c r="L66" s="20">
        <v>1176</v>
      </c>
      <c r="M66" s="20">
        <v>1176</v>
      </c>
      <c r="N66" s="20">
        <v>1176</v>
      </c>
      <c r="O66" s="20">
        <v>1176</v>
      </c>
      <c r="P66" s="20">
        <v>1176</v>
      </c>
      <c r="Q66" s="20">
        <v>1176</v>
      </c>
      <c r="BV66" s="2">
        <f t="shared" ref="BV66:BW69" si="13">C66-B66</f>
        <v>151</v>
      </c>
      <c r="BW66" s="2">
        <f t="shared" si="13"/>
        <v>121</v>
      </c>
    </row>
    <row r="67" spans="1:75" ht="13.8">
      <c r="A67" s="29" t="s">
        <v>34</v>
      </c>
      <c r="B67" s="20">
        <v>1630</v>
      </c>
      <c r="C67" s="20">
        <v>1902</v>
      </c>
      <c r="D67" s="181">
        <v>2121</v>
      </c>
      <c r="E67" s="20">
        <v>2121</v>
      </c>
      <c r="F67" s="20">
        <v>2121</v>
      </c>
      <c r="G67" s="20">
        <v>2121</v>
      </c>
      <c r="H67" s="20">
        <v>2121</v>
      </c>
      <c r="I67" s="20">
        <v>2121</v>
      </c>
      <c r="J67" s="20">
        <v>2121</v>
      </c>
      <c r="K67" s="20">
        <v>2121</v>
      </c>
      <c r="L67" s="20">
        <v>2121</v>
      </c>
      <c r="M67" s="20">
        <v>2121</v>
      </c>
      <c r="N67" s="20">
        <v>2121</v>
      </c>
      <c r="O67" s="20">
        <v>2121</v>
      </c>
      <c r="P67" s="20">
        <v>2121</v>
      </c>
      <c r="Q67" s="20">
        <v>2121</v>
      </c>
      <c r="BV67" s="2">
        <f t="shared" si="13"/>
        <v>272</v>
      </c>
      <c r="BW67" s="2">
        <f t="shared" si="13"/>
        <v>219</v>
      </c>
    </row>
    <row r="68" spans="1:75" ht="13.8">
      <c r="A68" s="29" t="s">
        <v>35</v>
      </c>
      <c r="B68" s="20">
        <v>-88</v>
      </c>
      <c r="C68" s="20">
        <v>-88</v>
      </c>
      <c r="D68" s="181">
        <v>-88</v>
      </c>
      <c r="E68" s="20">
        <v>-88</v>
      </c>
      <c r="F68" s="20">
        <v>-88</v>
      </c>
      <c r="G68" s="20">
        <v>-88</v>
      </c>
      <c r="H68" s="20">
        <v>-88</v>
      </c>
      <c r="I68" s="20">
        <v>-88</v>
      </c>
      <c r="J68" s="20">
        <v>-88</v>
      </c>
      <c r="K68" s="20">
        <v>-88</v>
      </c>
      <c r="L68" s="20">
        <v>-88</v>
      </c>
      <c r="M68" s="20">
        <v>-88</v>
      </c>
      <c r="N68" s="20">
        <v>-88</v>
      </c>
      <c r="O68" s="20">
        <v>-88</v>
      </c>
      <c r="P68" s="20">
        <v>-88</v>
      </c>
      <c r="Q68" s="20">
        <v>-88</v>
      </c>
      <c r="BV68" s="2">
        <f t="shared" si="13"/>
        <v>0</v>
      </c>
      <c r="BW68" s="2">
        <f t="shared" si="13"/>
        <v>0</v>
      </c>
    </row>
    <row r="69" spans="1:75" ht="13.8">
      <c r="A69" s="29" t="s">
        <v>36</v>
      </c>
      <c r="B69" s="20">
        <v>498</v>
      </c>
      <c r="C69" s="20">
        <v>498</v>
      </c>
      <c r="D69" s="181">
        <v>498</v>
      </c>
      <c r="E69" s="20">
        <v>498</v>
      </c>
      <c r="F69" s="20">
        <v>498</v>
      </c>
      <c r="G69" s="20">
        <v>498</v>
      </c>
      <c r="H69" s="20">
        <v>498</v>
      </c>
      <c r="I69" s="20">
        <v>498</v>
      </c>
      <c r="J69" s="20">
        <v>498</v>
      </c>
      <c r="K69" s="20">
        <v>498</v>
      </c>
      <c r="L69" s="20">
        <v>498</v>
      </c>
      <c r="M69" s="20">
        <v>498</v>
      </c>
      <c r="N69" s="20">
        <v>498</v>
      </c>
      <c r="O69" s="20">
        <v>498</v>
      </c>
      <c r="P69" s="20">
        <v>498</v>
      </c>
      <c r="Q69" s="20">
        <v>498</v>
      </c>
      <c r="BV69" s="2">
        <f t="shared" si="13"/>
        <v>0</v>
      </c>
      <c r="BW69" s="2">
        <f t="shared" si="13"/>
        <v>0</v>
      </c>
    </row>
    <row r="70" spans="1:75" ht="13.8">
      <c r="A70" s="30" t="s">
        <v>105</v>
      </c>
      <c r="B70" s="25">
        <f t="shared" ref="B70:Q70" si="14">SUM(B66:B69)</f>
        <v>2944</v>
      </c>
      <c r="C70" s="25">
        <f t="shared" si="14"/>
        <v>3367</v>
      </c>
      <c r="D70" s="183">
        <f t="shared" si="14"/>
        <v>3707</v>
      </c>
      <c r="E70" s="25">
        <f t="shared" si="14"/>
        <v>3707</v>
      </c>
      <c r="F70" s="25">
        <f t="shared" si="14"/>
        <v>3707</v>
      </c>
      <c r="G70" s="25">
        <f t="shared" si="14"/>
        <v>3707</v>
      </c>
      <c r="H70" s="25">
        <f t="shared" si="14"/>
        <v>3707</v>
      </c>
      <c r="I70" s="25">
        <f t="shared" si="14"/>
        <v>3707</v>
      </c>
      <c r="J70" s="25">
        <f t="shared" si="14"/>
        <v>3707</v>
      </c>
      <c r="K70" s="25">
        <f t="shared" si="14"/>
        <v>3707</v>
      </c>
      <c r="L70" s="25">
        <f t="shared" si="14"/>
        <v>3707</v>
      </c>
      <c r="M70" s="25">
        <f t="shared" si="14"/>
        <v>3707</v>
      </c>
      <c r="N70" s="25">
        <f t="shared" si="14"/>
        <v>3707</v>
      </c>
      <c r="O70" s="25">
        <f t="shared" si="14"/>
        <v>3707</v>
      </c>
      <c r="P70" s="25">
        <f t="shared" si="14"/>
        <v>3707</v>
      </c>
      <c r="Q70" s="25">
        <f t="shared" si="14"/>
        <v>3707</v>
      </c>
    </row>
    <row r="71" spans="1:75" ht="13.8">
      <c r="A71" s="31" t="s">
        <v>37</v>
      </c>
      <c r="B71" s="25">
        <v>-5175</v>
      </c>
      <c r="C71" s="25">
        <v>-4375</v>
      </c>
      <c r="D71" s="183">
        <v>-3774</v>
      </c>
      <c r="E71" s="25">
        <v>-3774</v>
      </c>
      <c r="F71" s="25">
        <v>-3774</v>
      </c>
      <c r="G71" s="25">
        <v>-3774</v>
      </c>
      <c r="H71" s="25">
        <v>-3774</v>
      </c>
      <c r="I71" s="25">
        <v>-3774</v>
      </c>
      <c r="J71" s="25">
        <v>-3774</v>
      </c>
      <c r="K71" s="25">
        <v>-3774</v>
      </c>
      <c r="L71" s="25">
        <v>-3774</v>
      </c>
      <c r="M71" s="25">
        <v>-3774</v>
      </c>
      <c r="N71" s="25">
        <v>-3774</v>
      </c>
      <c r="O71" s="25">
        <v>-3774</v>
      </c>
      <c r="P71" s="25">
        <v>-3774</v>
      </c>
      <c r="Q71" s="25">
        <v>-3774</v>
      </c>
      <c r="BV71" s="2">
        <f t="shared" ref="BV71:BW73" si="15">C71-B71</f>
        <v>800</v>
      </c>
      <c r="BW71" s="2">
        <f t="shared" si="15"/>
        <v>601</v>
      </c>
    </row>
    <row r="72" spans="1:75" ht="13.8">
      <c r="A72" s="31" t="s">
        <v>38</v>
      </c>
      <c r="B72" s="25">
        <v>2230</v>
      </c>
      <c r="C72" s="25">
        <v>3035</v>
      </c>
      <c r="D72" s="183">
        <v>4143</v>
      </c>
      <c r="E72" s="25">
        <v>4143</v>
      </c>
      <c r="F72" s="25">
        <v>4143</v>
      </c>
      <c r="G72" s="25">
        <v>4143</v>
      </c>
      <c r="H72" s="25">
        <v>4143</v>
      </c>
      <c r="I72" s="25">
        <v>4143</v>
      </c>
      <c r="J72" s="25">
        <v>4143</v>
      </c>
      <c r="K72" s="25">
        <v>4143</v>
      </c>
      <c r="L72" s="25">
        <v>4143</v>
      </c>
      <c r="M72" s="25">
        <v>4143</v>
      </c>
      <c r="N72" s="25">
        <v>4143</v>
      </c>
      <c r="O72" s="25">
        <v>4143</v>
      </c>
      <c r="P72" s="25">
        <v>4143</v>
      </c>
      <c r="Q72" s="25">
        <v>4143</v>
      </c>
      <c r="BV72" s="2">
        <f t="shared" si="15"/>
        <v>805</v>
      </c>
      <c r="BW72" s="2">
        <f t="shared" si="15"/>
        <v>1108</v>
      </c>
    </row>
    <row r="73" spans="1:75" ht="13.8">
      <c r="A73" s="31" t="s">
        <v>39</v>
      </c>
      <c r="B73" s="25">
        <v>3288</v>
      </c>
      <c r="C73" s="25">
        <v>2857</v>
      </c>
      <c r="D73" s="183">
        <v>3315</v>
      </c>
      <c r="E73" s="25">
        <f>D73+'4-DRE'!C59</f>
        <v>4976.54316472959</v>
      </c>
      <c r="F73" s="25">
        <f>E73+'4-DRE'!D59</f>
        <v>6497.1441532420376</v>
      </c>
      <c r="G73" s="25">
        <f>F73+'4-DRE'!E59</f>
        <v>8424.4446787041252</v>
      </c>
      <c r="H73" s="25">
        <f>G73+'4-DRE'!F59</f>
        <v>10729.720258052297</v>
      </c>
      <c r="I73" s="25">
        <f>H73+'4-DRE'!G59</f>
        <v>12557.533517144802</v>
      </c>
      <c r="J73" s="25">
        <f>I73+'4-DRE'!H59</f>
        <v>14466.553756314133</v>
      </c>
      <c r="K73" s="25">
        <f>J73+'4-DRE'!I59</f>
        <v>17243.336519092565</v>
      </c>
      <c r="L73" s="25">
        <f>K73+'4-DRE'!J59</f>
        <v>20730.321559445889</v>
      </c>
      <c r="M73" s="25">
        <f>L73+'4-DRE'!K59</f>
        <v>24841.224610966041</v>
      </c>
      <c r="N73" s="25">
        <f>M73+'4-DRE'!L59</f>
        <v>29812.573747112099</v>
      </c>
      <c r="O73" s="25">
        <f>N73+'4-DRE'!M59</f>
        <v>35782.493333341758</v>
      </c>
      <c r="P73" s="25">
        <f>O73+'4-DRE'!N59</f>
        <v>42957.754300420347</v>
      </c>
      <c r="Q73" s="25">
        <f>P73+'4-DRE'!O59</f>
        <v>51555.052368350225</v>
      </c>
      <c r="BV73" s="2">
        <f t="shared" si="15"/>
        <v>-431</v>
      </c>
      <c r="BW73" s="2">
        <f t="shared" si="15"/>
        <v>458</v>
      </c>
    </row>
    <row r="74" spans="1:75" ht="13.8">
      <c r="A74" s="25" t="s">
        <v>107</v>
      </c>
      <c r="B74" s="43">
        <f t="shared" ref="B74:Q74" si="16">B70+B71+B72+B73</f>
        <v>3287</v>
      </c>
      <c r="C74" s="43">
        <f t="shared" si="16"/>
        <v>4884</v>
      </c>
      <c r="D74" s="184">
        <f t="shared" si="16"/>
        <v>7391</v>
      </c>
      <c r="E74" s="43">
        <f t="shared" si="16"/>
        <v>9052.54316472959</v>
      </c>
      <c r="F74" s="43">
        <f t="shared" si="16"/>
        <v>10573.144153242038</v>
      </c>
      <c r="G74" s="43">
        <f t="shared" si="16"/>
        <v>12500.444678704125</v>
      </c>
      <c r="H74" s="43">
        <f t="shared" si="16"/>
        <v>14805.720258052297</v>
      </c>
      <c r="I74" s="43">
        <f t="shared" si="16"/>
        <v>16633.533517144802</v>
      </c>
      <c r="J74" s="43">
        <f t="shared" si="16"/>
        <v>18542.553756314133</v>
      </c>
      <c r="K74" s="43">
        <f t="shared" si="16"/>
        <v>21319.336519092565</v>
      </c>
      <c r="L74" s="43">
        <f t="shared" si="16"/>
        <v>24806.321559445889</v>
      </c>
      <c r="M74" s="43">
        <f t="shared" si="16"/>
        <v>28917.224610966041</v>
      </c>
      <c r="N74" s="43">
        <f t="shared" si="16"/>
        <v>33888.573747112096</v>
      </c>
      <c r="O74" s="43">
        <f t="shared" si="16"/>
        <v>39858.493333341758</v>
      </c>
      <c r="P74" s="43">
        <f t="shared" si="16"/>
        <v>47033.754300420347</v>
      </c>
      <c r="Q74" s="43">
        <f t="shared" si="16"/>
        <v>55631.052368350225</v>
      </c>
    </row>
    <row r="75" spans="1:75" ht="14.4" thickBot="1">
      <c r="A75" s="20"/>
      <c r="B75" s="43"/>
      <c r="C75" s="43"/>
      <c r="D75" s="184"/>
      <c r="E75" s="43"/>
      <c r="F75" s="43"/>
      <c r="G75" s="43"/>
      <c r="H75" s="43"/>
      <c r="I75" s="43"/>
      <c r="J75" s="43"/>
      <c r="K75" s="43"/>
      <c r="L75" s="43"/>
      <c r="M75" s="43"/>
      <c r="N75" s="43"/>
      <c r="O75" s="43"/>
      <c r="P75" s="43"/>
      <c r="Q75" s="43"/>
    </row>
    <row r="76" spans="1:75" s="4" customFormat="1" ht="16.2" thickBot="1">
      <c r="A76" s="23" t="s">
        <v>75</v>
      </c>
      <c r="B76" s="44">
        <f t="shared" ref="B76:Q76" si="17">SUM(B51+B60+B61+B62+B74)</f>
        <v>7955</v>
      </c>
      <c r="C76" s="44">
        <f t="shared" si="17"/>
        <v>11434</v>
      </c>
      <c r="D76" s="187">
        <f t="shared" si="17"/>
        <v>15715</v>
      </c>
      <c r="E76" s="44">
        <f t="shared" si="17"/>
        <v>17522.749289268308</v>
      </c>
      <c r="F76" s="44">
        <f t="shared" si="17"/>
        <v>19491.880817593847</v>
      </c>
      <c r="G76" s="44">
        <f t="shared" si="17"/>
        <v>22208.377699260534</v>
      </c>
      <c r="H76" s="44">
        <f t="shared" si="17"/>
        <v>25568.403609545621</v>
      </c>
      <c r="I76" s="44">
        <f t="shared" si="17"/>
        <v>25670.93061559934</v>
      </c>
      <c r="J76" s="44">
        <f t="shared" si="17"/>
        <v>28159.260574291784</v>
      </c>
      <c r="K76" s="44">
        <f t="shared" si="17"/>
        <v>31405.578971392562</v>
      </c>
      <c r="L76" s="44">
        <f t="shared" si="17"/>
        <v>34956.971460249042</v>
      </c>
      <c r="M76" s="44">
        <f t="shared" si="17"/>
        <v>39230.72677699574</v>
      </c>
      <c r="N76" s="44">
        <f t="shared" si="17"/>
        <v>43487.085800922403</v>
      </c>
      <c r="O76" s="44">
        <f t="shared" si="17"/>
        <v>48835.215681549824</v>
      </c>
      <c r="P76" s="44">
        <f t="shared" si="17"/>
        <v>55506.9456039258</v>
      </c>
      <c r="Q76" s="44">
        <f t="shared" si="17"/>
        <v>63627.02339013591</v>
      </c>
      <c r="BV76" s="4">
        <f>SUM(BV41:BV75)</f>
        <v>3479</v>
      </c>
      <c r="BW76" s="4">
        <f>SUM(BW41:BW75)</f>
        <v>4281</v>
      </c>
    </row>
    <row r="77" spans="1:75" ht="13.8">
      <c r="A77" s="22"/>
      <c r="B77" s="25">
        <f>ROUND(B76,0)-ROUND(B38,0)</f>
        <v>0</v>
      </c>
      <c r="C77" s="25">
        <f>ROUND(C76,0)-ROUND(C38,0)</f>
        <v>0</v>
      </c>
      <c r="D77" s="25">
        <f t="shared" ref="D77:Q77" si="18">ROUND(D76,0)-ROUND(D38,0)</f>
        <v>0</v>
      </c>
      <c r="E77" s="25">
        <f t="shared" si="18"/>
        <v>0</v>
      </c>
      <c r="F77" s="25">
        <f t="shared" si="18"/>
        <v>0</v>
      </c>
      <c r="G77" s="25">
        <f t="shared" si="18"/>
        <v>0</v>
      </c>
      <c r="H77" s="25">
        <f t="shared" si="18"/>
        <v>0</v>
      </c>
      <c r="I77" s="25">
        <f t="shared" si="18"/>
        <v>0</v>
      </c>
      <c r="J77" s="25">
        <f t="shared" si="18"/>
        <v>0</v>
      </c>
      <c r="K77" s="25">
        <f t="shared" si="18"/>
        <v>0</v>
      </c>
      <c r="L77" s="25">
        <f t="shared" si="18"/>
        <v>0</v>
      </c>
      <c r="M77" s="25">
        <f t="shared" si="18"/>
        <v>0</v>
      </c>
      <c r="N77" s="25">
        <f t="shared" si="18"/>
        <v>0</v>
      </c>
      <c r="O77" s="25">
        <f t="shared" si="18"/>
        <v>0</v>
      </c>
      <c r="P77" s="25">
        <f t="shared" si="18"/>
        <v>0</v>
      </c>
      <c r="Q77" s="25">
        <f t="shared" si="18"/>
        <v>0</v>
      </c>
      <c r="BV77" s="2">
        <f>BV76+BV38</f>
        <v>-1026</v>
      </c>
      <c r="BW77" s="2">
        <f>BW76+BW38</f>
        <v>-927</v>
      </c>
    </row>
    <row r="78" spans="1:75" ht="13.8">
      <c r="D78" s="329">
        <f t="shared" ref="D78:Q78" si="19">ROUND(D76,0)-ROUND(D38,0)</f>
        <v>0</v>
      </c>
      <c r="E78" s="329">
        <f t="shared" si="19"/>
        <v>0</v>
      </c>
      <c r="F78" s="329">
        <f t="shared" si="19"/>
        <v>0</v>
      </c>
      <c r="G78" s="329">
        <f t="shared" si="19"/>
        <v>0</v>
      </c>
      <c r="H78" s="329">
        <f t="shared" si="19"/>
        <v>0</v>
      </c>
      <c r="I78" s="329">
        <f t="shared" si="19"/>
        <v>0</v>
      </c>
      <c r="J78" s="329">
        <f t="shared" si="19"/>
        <v>0</v>
      </c>
      <c r="K78" s="329">
        <f t="shared" si="19"/>
        <v>0</v>
      </c>
      <c r="L78" s="329">
        <f t="shared" si="19"/>
        <v>0</v>
      </c>
      <c r="M78" s="329">
        <f t="shared" si="19"/>
        <v>0</v>
      </c>
      <c r="N78" s="329">
        <f t="shared" si="19"/>
        <v>0</v>
      </c>
      <c r="O78" s="329">
        <f t="shared" si="19"/>
        <v>0</v>
      </c>
      <c r="P78" s="329">
        <f t="shared" si="19"/>
        <v>0</v>
      </c>
      <c r="Q78" s="329">
        <f t="shared" si="19"/>
        <v>0</v>
      </c>
    </row>
    <row r="79" spans="1:75" ht="14.4">
      <c r="A79" s="6"/>
      <c r="B79" s="6"/>
    </row>
    <row r="80" spans="1:75" ht="13.8">
      <c r="E80" s="213"/>
      <c r="F80" s="213"/>
      <c r="G80" s="213"/>
      <c r="H80" s="213"/>
      <c r="I80" s="213"/>
      <c r="J80" s="213"/>
      <c r="K80" s="213"/>
      <c r="L80" s="213"/>
      <c r="M80" s="213"/>
      <c r="N80" s="213"/>
      <c r="O80" s="213"/>
      <c r="P80" s="213"/>
      <c r="Q80" s="213"/>
    </row>
    <row r="81" spans="1:17" ht="14.4">
      <c r="A81" s="5"/>
      <c r="B81" s="5"/>
      <c r="E81" s="213"/>
      <c r="F81" s="213"/>
      <c r="G81" s="213"/>
      <c r="H81" s="213"/>
      <c r="I81" s="213"/>
      <c r="J81" s="213"/>
      <c r="K81" s="213"/>
      <c r="L81" s="213"/>
      <c r="M81" s="213"/>
      <c r="N81" s="213"/>
      <c r="O81" s="213"/>
      <c r="P81" s="213"/>
      <c r="Q81" s="213"/>
    </row>
    <row r="82" spans="1:17" ht="13.8">
      <c r="A82" s="251"/>
      <c r="B82" s="1"/>
    </row>
    <row r="83" spans="1:17" ht="13.8">
      <c r="A83" s="251"/>
      <c r="B83" s="1"/>
    </row>
    <row r="84" spans="1:17" ht="13.8">
      <c r="A84" s="251"/>
      <c r="B84" s="1"/>
    </row>
    <row r="85" spans="1:17" ht="13.8">
      <c r="A85" s="251"/>
      <c r="B85" s="1"/>
    </row>
    <row r="86" spans="1:17" ht="13.8">
      <c r="A86" s="251"/>
      <c r="B86" s="1"/>
    </row>
    <row r="87" spans="1:17" ht="13.8">
      <c r="A87" s="251"/>
      <c r="B87" s="1"/>
    </row>
    <row r="88" spans="1:17" ht="13.8">
      <c r="A88" s="251"/>
      <c r="B88" s="1"/>
    </row>
    <row r="89" spans="1:17" ht="13.8">
      <c r="A89" s="251"/>
      <c r="B89" s="1"/>
    </row>
    <row r="90" spans="1:17" ht="13.8">
      <c r="A90" s="251"/>
      <c r="B90" s="1"/>
    </row>
    <row r="91" spans="1:17" ht="13.8">
      <c r="A91" s="251"/>
      <c r="B91" s="1"/>
    </row>
    <row r="92" spans="1:17" ht="13.8">
      <c r="A92" s="251"/>
      <c r="B92" s="1"/>
    </row>
    <row r="93" spans="1:17" ht="13.8">
      <c r="A93" s="251"/>
      <c r="B93" s="1"/>
    </row>
    <row r="94" spans="1:17" ht="13.8">
      <c r="A94" s="251"/>
      <c r="B94" s="1"/>
    </row>
    <row r="95" spans="1:17" ht="13.8">
      <c r="A95" s="251"/>
      <c r="B95" s="1"/>
    </row>
    <row r="96" spans="1:17" ht="13.8">
      <c r="A96" s="251"/>
      <c r="B96" s="1"/>
    </row>
    <row r="97" spans="1:2" ht="13.8">
      <c r="A97" s="251"/>
      <c r="B97" s="1"/>
    </row>
    <row r="98" spans="1:2" ht="13.8">
      <c r="A98" s="251"/>
      <c r="B98" s="1"/>
    </row>
    <row r="99" spans="1:2" ht="13.8">
      <c r="A99" s="251"/>
      <c r="B99" s="1"/>
    </row>
    <row r="100" spans="1:2" ht="13.8">
      <c r="A100" s="251"/>
      <c r="B100" s="1"/>
    </row>
    <row r="101" spans="1:2" ht="13.8">
      <c r="A101" s="251"/>
      <c r="B101" s="1"/>
    </row>
    <row r="102" spans="1:2" ht="13.8">
      <c r="A102" s="251"/>
      <c r="B102" s="1"/>
    </row>
    <row r="103" spans="1:2" ht="13.8">
      <c r="A103" s="251"/>
      <c r="B103" s="1"/>
    </row>
    <row r="104" spans="1:2" ht="13.8">
      <c r="A104" s="251"/>
      <c r="B104" s="1"/>
    </row>
    <row r="105" spans="1:2" ht="13.8">
      <c r="A105" s="251"/>
      <c r="B105" s="1"/>
    </row>
    <row r="106" spans="1:2" ht="13.8">
      <c r="A106" s="251"/>
      <c r="B106" s="1"/>
    </row>
    <row r="107" spans="1:2" ht="13.8">
      <c r="A107" s="251"/>
      <c r="B107" s="1"/>
    </row>
    <row r="108" spans="1:2" ht="13.8">
      <c r="A108" s="251"/>
      <c r="B108" s="1"/>
    </row>
  </sheetData>
  <phoneticPr fontId="0" type="noConversion"/>
  <conditionalFormatting sqref="B77:Q77">
    <cfRule type="expression" dxfId="2" priority="2" stopIfTrue="1">
      <formula>ROUND(B76,0)-ROUND(B38,0)=0</formula>
    </cfRule>
  </conditionalFormatting>
  <conditionalFormatting sqref="D78:Q78">
    <cfRule type="expression" dxfId="1" priority="1" stopIfTrue="1">
      <formula>ROUND(D76,0)-ROUND(D38,0)=0</formula>
    </cfRule>
  </conditionalFormatting>
  <hyperlinks>
    <hyperlink ref="A1" location="Índice!A1" display="Voltar" xr:uid="{00000000-0004-0000-0500-000000000000}"/>
  </hyperlinks>
  <printOptions horizontalCentered="1"/>
  <pageMargins left="0.19685039370078741" right="0.23622047244094491" top="0.35433070866141736" bottom="0.28000000000000003" header="0.23622047244094491" footer="0.19685039370078741"/>
  <pageSetup paperSize="9" scale="73" fitToHeight="2" orientation="landscape" horizontalDpi="300" verticalDpi="300" r:id="rId1"/>
  <headerFooter alignWithMargins="0"/>
  <rowBreaks count="1" manualBreakCount="1">
    <brk id="39" max="1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indexed="43"/>
    <pageSetUpPr fitToPage="1"/>
  </sheetPr>
  <dimension ref="A1:O68"/>
  <sheetViews>
    <sheetView showGridLines="0" zoomScale="85" zoomScaleNormal="85" workbookViewId="0">
      <pane xSplit="1" ySplit="5" topLeftCell="B6" activePane="bottomRight" state="frozen"/>
      <selection activeCell="D10" sqref="D10"/>
      <selection pane="topRight" activeCell="D10" sqref="D10"/>
      <selection pane="bottomLeft" activeCell="D10" sqref="D10"/>
      <selection pane="bottomRight" activeCell="B8" sqref="B8"/>
    </sheetView>
  </sheetViews>
  <sheetFormatPr defaultColWidth="8.88671875" defaultRowHeight="13.2"/>
  <cols>
    <col min="1" max="1" width="45.6640625" style="32" customWidth="1"/>
    <col min="2" max="2" width="8.33203125" style="32" bestFit="1" customWidth="1"/>
    <col min="3" max="3" width="8.109375" style="32" bestFit="1" customWidth="1"/>
    <col min="4" max="4" width="8.88671875" style="32" bestFit="1" customWidth="1"/>
    <col min="5" max="5" width="8.6640625" style="32" customWidth="1"/>
    <col min="6" max="8" width="8.88671875" style="32" bestFit="1" customWidth="1"/>
    <col min="9" max="9" width="9.33203125" style="32" bestFit="1" customWidth="1"/>
    <col min="10" max="10" width="9.6640625" style="32" bestFit="1" customWidth="1"/>
    <col min="11" max="13" width="9.33203125" style="32" bestFit="1" customWidth="1"/>
    <col min="14" max="15" width="9.6640625" style="32" bestFit="1" customWidth="1"/>
    <col min="16" max="16384" width="8.88671875" style="32"/>
  </cols>
  <sheetData>
    <row r="1" spans="1:15">
      <c r="A1" s="393" t="s">
        <v>353</v>
      </c>
    </row>
    <row r="2" spans="1:15">
      <c r="A2" s="15" t="s">
        <v>108</v>
      </c>
    </row>
    <row r="3" spans="1:15">
      <c r="A3" s="34" t="s">
        <v>76</v>
      </c>
      <c r="N3" s="20" t="s">
        <v>352</v>
      </c>
    </row>
    <row r="4" spans="1:15">
      <c r="A4" s="36"/>
    </row>
    <row r="5" spans="1:15">
      <c r="A5" s="35"/>
      <c r="B5" s="40">
        <f>+'3-Balanço'!D5</f>
        <v>42004</v>
      </c>
      <c r="C5" s="40">
        <f>+'3-Balanço'!E5</f>
        <v>42369</v>
      </c>
      <c r="D5" s="40">
        <f>+'3-Balanço'!F5</f>
        <v>42735</v>
      </c>
      <c r="E5" s="40">
        <f>+'3-Balanço'!G5</f>
        <v>43100</v>
      </c>
      <c r="F5" s="40">
        <f>+'3-Balanço'!H5</f>
        <v>43465</v>
      </c>
      <c r="G5" s="40">
        <f>+'3-Balanço'!I5</f>
        <v>43830</v>
      </c>
      <c r="H5" s="40">
        <f>+'3-Balanço'!J5</f>
        <v>44196</v>
      </c>
      <c r="I5" s="40">
        <f>+'3-Balanço'!K5</f>
        <v>44561</v>
      </c>
      <c r="J5" s="40">
        <f>+'3-Balanço'!L5</f>
        <v>44926</v>
      </c>
      <c r="K5" s="40">
        <f>+'3-Balanço'!M5</f>
        <v>45291</v>
      </c>
      <c r="L5" s="40">
        <f>+'3-Balanço'!N5</f>
        <v>45657</v>
      </c>
      <c r="M5" s="40">
        <f>+'3-Balanço'!O5</f>
        <v>46022</v>
      </c>
      <c r="N5" s="40">
        <f>+'3-Balanço'!P5</f>
        <v>46387</v>
      </c>
      <c r="O5" s="40">
        <f>+'3-Balanço'!Q5</f>
        <v>46752</v>
      </c>
    </row>
    <row r="6" spans="1:15" ht="15" customHeight="1" thickBot="1">
      <c r="A6" s="50" t="s">
        <v>109</v>
      </c>
      <c r="B6" s="63"/>
    </row>
    <row r="7" spans="1:15" ht="15" customHeight="1">
      <c r="A7" s="51" t="s">
        <v>40</v>
      </c>
      <c r="B7" s="52"/>
      <c r="C7" s="52"/>
      <c r="D7" s="52"/>
      <c r="E7" s="52"/>
      <c r="F7" s="52"/>
      <c r="G7" s="52"/>
      <c r="H7" s="52"/>
      <c r="I7" s="52"/>
      <c r="J7" s="52"/>
      <c r="K7" s="52"/>
      <c r="L7" s="52"/>
      <c r="M7" s="52"/>
      <c r="N7" s="52"/>
      <c r="O7" s="52"/>
    </row>
    <row r="8" spans="1:15" s="83" customFormat="1" ht="15" customHeight="1">
      <c r="A8" s="109" t="s">
        <v>41</v>
      </c>
      <c r="B8" s="377">
        <v>5143</v>
      </c>
      <c r="C8" s="378">
        <f>B8*(1+'2-Premissas'!C7)*(1+'2-Premissas'!C19)</f>
        <v>9790.4719499999992</v>
      </c>
      <c r="D8" s="378">
        <f>C8*(1+'2-Premissas'!D7)*(1+'2-Premissas'!D19)</f>
        <v>11621.3881093695</v>
      </c>
      <c r="E8" s="378">
        <f>D8*(1+'2-Premissas'!E7)*(1+'2-Premissas'!E19)</f>
        <v>13617.942586559182</v>
      </c>
      <c r="F8" s="378">
        <f>E8*(1+'2-Premissas'!F7)*(1+'2-Premissas'!F19)</f>
        <v>15728.723687475858</v>
      </c>
      <c r="G8" s="378">
        <f>F8*(1+'2-Premissas'!G7)*(1+'2-Premissas'!G19)</f>
        <v>18166.675859034622</v>
      </c>
      <c r="H8" s="378">
        <f>G8*(1+'2-Premissas'!H7)*(1+'2-Premissas'!H19)</f>
        <v>20982.510617184987</v>
      </c>
      <c r="I8" s="378">
        <f>H8*(1+'2-Premissas'!I7)*(1+'2-Premissas'!I19)</f>
        <v>20984.81871433539</v>
      </c>
      <c r="J8" s="378">
        <f>I8*(1+'2-Premissas'!J7)*(1+'2-Premissas'!J19)</f>
        <v>20987.127065378787</v>
      </c>
      <c r="K8" s="378">
        <f>J8*(1+'2-Premissas'!K7)*(1+'2-Premissas'!K19)</f>
        <v>21618.902551427884</v>
      </c>
      <c r="L8" s="378">
        <f>K8*(1+'2-Premissas'!L7)*(1+'2-Premissas'!L19)</f>
        <v>23380.843109369256</v>
      </c>
      <c r="M8" s="378">
        <f>L8*(1+'2-Premissas'!M7)*(1+'2-Premissas'!M19)</f>
        <v>25286.381822782852</v>
      </c>
      <c r="N8" s="378">
        <f>M8*(1+'2-Premissas'!N7)*(1+'2-Premissas'!N19)</f>
        <v>27347.221941339656</v>
      </c>
      <c r="O8" s="378">
        <f>N8*(1+'2-Premissas'!O7)*(1+'2-Premissas'!O19)</f>
        <v>29576.020529558842</v>
      </c>
    </row>
    <row r="9" spans="1:15" s="83" customFormat="1" ht="15" customHeight="1">
      <c r="A9" s="109" t="s">
        <v>42</v>
      </c>
      <c r="B9" s="377">
        <v>701</v>
      </c>
      <c r="C9" s="378">
        <f>B9*(1+'2-Premissas'!C8)*(1+'2-Premissas'!C20)</f>
        <v>863.63200000000006</v>
      </c>
      <c r="D9" s="378">
        <f>C9*(1+'2-Premissas'!D8)*(1+'2-Premissas'!D20)</f>
        <v>924.94987200000003</v>
      </c>
      <c r="E9" s="378">
        <f>D9*(1+'2-Premissas'!E8)*(1+'2-Premissas'!E20)</f>
        <v>990.62131291200012</v>
      </c>
      <c r="F9" s="378">
        <f>E9*(1+'2-Premissas'!F8)*(1+'2-Premissas'!F20)</f>
        <v>1060.9554261287522</v>
      </c>
      <c r="G9" s="378">
        <f>F9*(1+'2-Premissas'!G8)*(1+'2-Premissas'!G20)</f>
        <v>1147.4232933582457</v>
      </c>
      <c r="H9" s="378">
        <f>G9*(1+'2-Premissas'!H8)*(1+'2-Premissas'!H20)</f>
        <v>1240.9382917669427</v>
      </c>
      <c r="I9" s="378">
        <f>H9*(1+'2-Premissas'!I8)*(1+'2-Premissas'!I20)</f>
        <v>1342.0747625459487</v>
      </c>
      <c r="J9" s="378">
        <f>I9*(1+'2-Premissas'!J8)*(1+'2-Premissas'!J20)</f>
        <v>1451.4538556934435</v>
      </c>
      <c r="K9" s="378">
        <f>J9*(1+'2-Premissas'!K8)*(1+'2-Premissas'!K20)</f>
        <v>1569.7473449324593</v>
      </c>
      <c r="L9" s="378">
        <f>K9*(1+'2-Premissas'!L8)*(1+'2-Premissas'!L20)</f>
        <v>1697.6817535444548</v>
      </c>
      <c r="M9" s="378">
        <f>L9*(1+'2-Premissas'!M8)*(1+'2-Premissas'!M20)</f>
        <v>1836.0428164583277</v>
      </c>
      <c r="N9" s="378">
        <f>M9*(1+'2-Premissas'!N8)*(1+'2-Premissas'!N20)</f>
        <v>1985.6803059996817</v>
      </c>
      <c r="O9" s="378">
        <f>N9*(1+'2-Premissas'!O8)*(1+'2-Premissas'!O20)</f>
        <v>2147.5132509386558</v>
      </c>
    </row>
    <row r="10" spans="1:15" s="83" customFormat="1" ht="15" customHeight="1">
      <c r="A10" s="109" t="s">
        <v>43</v>
      </c>
      <c r="B10" s="377">
        <v>0</v>
      </c>
      <c r="C10" s="378">
        <f>B10*(1+'2-Premissas'!C9)*(1+'2-Premissas'!C21)</f>
        <v>0</v>
      </c>
      <c r="D10" s="378">
        <f>C10*(1+'2-Premissas'!D9)*(1+'2-Premissas'!D21)</f>
        <v>0</v>
      </c>
      <c r="E10" s="378">
        <f>D10*(1+'2-Premissas'!E9)*(1+'2-Premissas'!E21)</f>
        <v>0</v>
      </c>
      <c r="F10" s="378">
        <f>E10*(1+'2-Premissas'!F9)*(1+'2-Premissas'!F21)</f>
        <v>0</v>
      </c>
      <c r="G10" s="378">
        <f>F10*(1+'2-Premissas'!G9)*(1+'2-Premissas'!G21)</f>
        <v>0</v>
      </c>
      <c r="H10" s="378">
        <f>G10*(1+'2-Premissas'!H9)*(1+'2-Premissas'!H21)</f>
        <v>0</v>
      </c>
      <c r="I10" s="378">
        <f>H10*(1+'2-Premissas'!I9)*(1+'2-Premissas'!I21)</f>
        <v>0</v>
      </c>
      <c r="J10" s="378">
        <f>I10*(1+'2-Premissas'!J9)*(1+'2-Premissas'!J21)</f>
        <v>0</v>
      </c>
      <c r="K10" s="378">
        <f>J10*(1+'2-Premissas'!K9)*(1+'2-Premissas'!K21)</f>
        <v>0</v>
      </c>
      <c r="L10" s="378">
        <f>K10*(1+'2-Premissas'!L9)*(1+'2-Premissas'!L21)</f>
        <v>0</v>
      </c>
      <c r="M10" s="378">
        <f>L10*(1+'2-Premissas'!M9)*(1+'2-Premissas'!M21)</f>
        <v>0</v>
      </c>
      <c r="N10" s="378">
        <f>M10*(1+'2-Premissas'!N9)*(1+'2-Premissas'!N21)</f>
        <v>0</v>
      </c>
      <c r="O10" s="378">
        <f>N10*(1+'2-Premissas'!O9)*(1+'2-Premissas'!O21)</f>
        <v>0</v>
      </c>
    </row>
    <row r="11" spans="1:15" s="83" customFormat="1" ht="15" customHeight="1">
      <c r="A11" s="109" t="s">
        <v>44</v>
      </c>
      <c r="B11" s="377">
        <v>124</v>
      </c>
      <c r="C11" s="378">
        <f>B11*(1+'2-Premissas'!C10)*(1+'2-Premissas'!C22)</f>
        <v>134.10600000000002</v>
      </c>
      <c r="D11" s="378">
        <f>C11*(1+'2-Premissas'!D10)*(1+'2-Premissas'!D22)</f>
        <v>145.03563900000003</v>
      </c>
      <c r="E11" s="378">
        <f>D11*(1+'2-Premissas'!E10)*(1+'2-Premissas'!E22)</f>
        <v>156.85604357850005</v>
      </c>
      <c r="F11" s="378">
        <f>E11*(1+'2-Premissas'!F10)*(1+'2-Premissas'!F22)</f>
        <v>169.63981113014782</v>
      </c>
      <c r="G11" s="378">
        <f>F11*(1+'2-Premissas'!G10)*(1+'2-Premissas'!G22)</f>
        <v>183.4654557372549</v>
      </c>
      <c r="H11" s="378">
        <f>G11*(1+'2-Premissas'!H10)*(1+'2-Premissas'!H22)</f>
        <v>198.4178903798412</v>
      </c>
      <c r="I11" s="378">
        <f>H11*(1+'2-Premissas'!I10)*(1+'2-Premissas'!I22)</f>
        <v>214.58894844579828</v>
      </c>
      <c r="J11" s="378">
        <f>I11*(1+'2-Premissas'!J10)*(1+'2-Premissas'!J22)</f>
        <v>232.07794774413085</v>
      </c>
      <c r="K11" s="378">
        <f>J11*(1+'2-Premissas'!K10)*(1+'2-Premissas'!K22)</f>
        <v>250.99230048527755</v>
      </c>
      <c r="L11" s="378">
        <f>K11*(1+'2-Premissas'!L10)*(1+'2-Premissas'!L22)</f>
        <v>271.44817297482774</v>
      </c>
      <c r="M11" s="378">
        <f>L11*(1+'2-Premissas'!M10)*(1+'2-Premissas'!M22)</f>
        <v>293.57119907227622</v>
      </c>
      <c r="N11" s="378">
        <f>M11*(1+'2-Premissas'!N10)*(1+'2-Premissas'!N22)</f>
        <v>317.49725179666677</v>
      </c>
      <c r="O11" s="378">
        <f>N11*(1+'2-Premissas'!O10)*(1+'2-Premissas'!O22)</f>
        <v>343.37327781809512</v>
      </c>
    </row>
    <row r="12" spans="1:15" s="83" customFormat="1" ht="15" customHeight="1">
      <c r="A12" s="109" t="s">
        <v>45</v>
      </c>
      <c r="B12" s="377">
        <v>164</v>
      </c>
      <c r="C12" s="378">
        <f>B12*(1+'2-Premissas'!C11)*(1+'2-Premissas'!C23)</f>
        <v>177.36600000000001</v>
      </c>
      <c r="D12" s="378">
        <f>C12*(1+'2-Premissas'!D11)*(1+'2-Premissas'!D23)</f>
        <v>188.1675894</v>
      </c>
      <c r="E12" s="378">
        <f>D12*(1+'2-Premissas'!E11)*(1+'2-Premissas'!E23)</f>
        <v>199.62699559446</v>
      </c>
      <c r="F12" s="378">
        <f>E12*(1+'2-Premissas'!F11)*(1+'2-Premissas'!F23)</f>
        <v>209.72812157153967</v>
      </c>
      <c r="G12" s="378">
        <f>F12*(1+'2-Premissas'!G11)*(1+'2-Premissas'!G23)</f>
        <v>218.18016487087274</v>
      </c>
      <c r="H12" s="378">
        <f>G12*(1+'2-Premissas'!H11)*(1+'2-Premissas'!H23)</f>
        <v>226.97282551516892</v>
      </c>
      <c r="I12" s="378">
        <f>H12*(1+'2-Premissas'!I11)*(1+'2-Premissas'!I23)</f>
        <v>236.11983038343024</v>
      </c>
      <c r="J12" s="378">
        <f>I12*(1+'2-Premissas'!J11)*(1+'2-Premissas'!J23)</f>
        <v>245.63545954788248</v>
      </c>
      <c r="K12" s="378">
        <f>J12*(1+'2-Premissas'!K11)*(1+'2-Premissas'!K23)</f>
        <v>255.53456856766215</v>
      </c>
      <c r="L12" s="378">
        <f>K12*(1+'2-Premissas'!L11)*(1+'2-Premissas'!L23)</f>
        <v>265.8326116809389</v>
      </c>
      <c r="M12" s="378">
        <f>L12*(1+'2-Premissas'!M11)*(1+'2-Premissas'!M23)</f>
        <v>276.54566593168073</v>
      </c>
      <c r="N12" s="378">
        <f>M12*(1+'2-Premissas'!N11)*(1+'2-Premissas'!N23)</f>
        <v>287.69045626872747</v>
      </c>
      <c r="O12" s="378">
        <f>N12*(1+'2-Premissas'!O11)*(1+'2-Premissas'!O23)</f>
        <v>299.2843816563572</v>
      </c>
    </row>
    <row r="13" spans="1:15" s="83" customFormat="1" ht="15" customHeight="1">
      <c r="A13" s="109" t="s">
        <v>46</v>
      </c>
      <c r="B13" s="377">
        <v>201</v>
      </c>
      <c r="C13" s="378">
        <f>B13*(1+'2-Premissas'!C12)*(1+'2-Premissas'!C24)</f>
        <v>375.87</v>
      </c>
      <c r="D13" s="378">
        <f>C13*(1+'2-Premissas'!D12)*(1+'2-Premissas'!D24)</f>
        <v>357.08007076500002</v>
      </c>
      <c r="E13" s="378">
        <f>D13*(1+'2-Premissas'!E12)*(1+'2-Premissas'!E24)</f>
        <v>339.22945948742228</v>
      </c>
      <c r="F13" s="378">
        <f>E13*(1+'2-Premissas'!F12)*(1+'2-Premissas'!F24)</f>
        <v>322.27120919291633</v>
      </c>
      <c r="G13" s="378">
        <f>F13*(1+'2-Premissas'!G12)*(1+'2-Premissas'!G24)</f>
        <v>322.27443190500827</v>
      </c>
      <c r="H13" s="378">
        <f>G13*(1+'2-Premissas'!H12)*(1+'2-Premissas'!H24)</f>
        <v>322.27765464932736</v>
      </c>
      <c r="I13" s="378">
        <f>H13*(1+'2-Premissas'!I12)*(1+'2-Premissas'!I24)</f>
        <v>322.28087742587388</v>
      </c>
      <c r="J13" s="378">
        <f>I13*(1+'2-Premissas'!J12)*(1+'2-Premissas'!J24)</f>
        <v>322.28410023464818</v>
      </c>
      <c r="K13" s="378">
        <f>J13*(1+'2-Premissas'!K12)*(1+'2-Premissas'!K24)</f>
        <v>322.28732307565053</v>
      </c>
      <c r="L13" s="378">
        <f>K13*(1+'2-Premissas'!L12)*(1+'2-Premissas'!L24)</f>
        <v>322.29054594888129</v>
      </c>
      <c r="M13" s="378">
        <f>L13*(1+'2-Premissas'!M12)*(1+'2-Premissas'!M24)</f>
        <v>322.29376885434078</v>
      </c>
      <c r="N13" s="378">
        <f>M13*(1+'2-Premissas'!N12)*(1+'2-Premissas'!N24)</f>
        <v>322.29699179202936</v>
      </c>
      <c r="O13" s="378">
        <f>N13*(1+'2-Premissas'!O12)*(1+'2-Premissas'!O24)</f>
        <v>322.3002147619473</v>
      </c>
    </row>
    <row r="14" spans="1:15" ht="15" customHeight="1">
      <c r="A14" s="55" t="s">
        <v>110</v>
      </c>
      <c r="B14" s="379">
        <f t="shared" ref="B14:O14" si="0">SUM(B8:B13)</f>
        <v>6333</v>
      </c>
      <c r="C14" s="379">
        <f t="shared" si="0"/>
        <v>11341.445949999999</v>
      </c>
      <c r="D14" s="379">
        <f t="shared" si="0"/>
        <v>13236.621280534499</v>
      </c>
      <c r="E14" s="379">
        <f t="shared" si="0"/>
        <v>15304.276398131566</v>
      </c>
      <c r="F14" s="379">
        <f t="shared" si="0"/>
        <v>17491.318255499216</v>
      </c>
      <c r="G14" s="379">
        <f t="shared" si="0"/>
        <v>20038.019204906002</v>
      </c>
      <c r="H14" s="379">
        <f t="shared" si="0"/>
        <v>22971.117279496266</v>
      </c>
      <c r="I14" s="379">
        <f t="shared" si="0"/>
        <v>23099.883133136442</v>
      </c>
      <c r="J14" s="379">
        <f t="shared" si="0"/>
        <v>23238.578428598892</v>
      </c>
      <c r="K14" s="379">
        <f t="shared" si="0"/>
        <v>24017.464088488938</v>
      </c>
      <c r="L14" s="379">
        <f t="shared" si="0"/>
        <v>25938.096193518362</v>
      </c>
      <c r="M14" s="379">
        <f t="shared" si="0"/>
        <v>28014.835273099481</v>
      </c>
      <c r="N14" s="379">
        <f t="shared" si="0"/>
        <v>30260.386947196763</v>
      </c>
      <c r="O14" s="379">
        <f t="shared" si="0"/>
        <v>32688.491654733902</v>
      </c>
    </row>
    <row r="15" spans="1:15" ht="15" customHeight="1">
      <c r="A15" s="55"/>
      <c r="B15" s="379"/>
      <c r="C15" s="380"/>
      <c r="D15" s="380"/>
      <c r="E15" s="380"/>
      <c r="F15" s="380"/>
      <c r="G15" s="380"/>
      <c r="H15" s="380"/>
      <c r="I15" s="380"/>
      <c r="J15" s="380"/>
      <c r="K15" s="380"/>
      <c r="L15" s="380"/>
      <c r="M15" s="380"/>
      <c r="N15" s="380"/>
      <c r="O15" s="380"/>
    </row>
    <row r="16" spans="1:15" ht="15" customHeight="1">
      <c r="A16" s="55" t="s">
        <v>48</v>
      </c>
      <c r="B16" s="377">
        <v>877</v>
      </c>
      <c r="C16" s="378">
        <f>B16*(1+'2-Premissas'!C14)*(1+'2-Premissas'!C26)</f>
        <v>939.26700000000005</v>
      </c>
      <c r="D16" s="378">
        <f>C16*(1+'2-Premissas'!D14)*(1+'2-Premissas'!D26)</f>
        <v>1005.954957</v>
      </c>
      <c r="E16" s="378">
        <f>D16*(1+'2-Premissas'!E14)*(1+'2-Premissas'!E26)</f>
        <v>1046.5955372628</v>
      </c>
      <c r="F16" s="378">
        <f>E16*(1+'2-Premissas'!F14)*(1+'2-Premissas'!F26)</f>
        <v>1088.8779969682173</v>
      </c>
      <c r="G16" s="378">
        <f>F16*(1+'2-Premissas'!G14)*(1+'2-Premissas'!G26)</f>
        <v>1132.8686680457333</v>
      </c>
      <c r="H16" s="378">
        <f>G16*(1+'2-Premissas'!H14)*(1+'2-Premissas'!H26)</f>
        <v>1178.6365622347812</v>
      </c>
      <c r="I16" s="378">
        <f>H16*(1+'2-Premissas'!I14)*(1+'2-Premissas'!I26)</f>
        <v>1226.2534793490663</v>
      </c>
      <c r="J16" s="378">
        <f>I16*(1+'2-Premissas'!J14)*(1+'2-Premissas'!J26)</f>
        <v>1275.7941199147685</v>
      </c>
      <c r="K16" s="378">
        <f>J16*(1+'2-Premissas'!K14)*(1+'2-Premissas'!K26)</f>
        <v>1327.3362023593252</v>
      </c>
      <c r="L16" s="378">
        <f>K16*(1+'2-Premissas'!L14)*(1+'2-Premissas'!L26)</f>
        <v>1380.9605849346419</v>
      </c>
      <c r="M16" s="378">
        <f>L16*(1+'2-Premissas'!M14)*(1+'2-Premissas'!M26)</f>
        <v>1436.7513925660016</v>
      </c>
      <c r="N16" s="378">
        <f>M16*(1+'2-Premissas'!N14)*(1+'2-Premissas'!N26)</f>
        <v>1494.7961488256681</v>
      </c>
      <c r="O16" s="378">
        <f>N16*(1+'2-Premissas'!O14)*(1+'2-Premissas'!O26)</f>
        <v>1555.1859132382251</v>
      </c>
    </row>
    <row r="17" spans="1:15" ht="15" customHeight="1">
      <c r="A17" s="55" t="s">
        <v>49</v>
      </c>
      <c r="B17" s="377">
        <v>1250</v>
      </c>
      <c r="C17" s="378">
        <f>B17*(1+'2-Premissas'!C15)*(1+'2-Premissas'!C27)</f>
        <v>1313.25</v>
      </c>
      <c r="D17" s="378">
        <f>C17*(1+'2-Premissas'!D15)*(1+'2-Premissas'!D27)</f>
        <v>1723.6406250000002</v>
      </c>
      <c r="E17" s="378">
        <f>D17*(1+'2-Premissas'!E15)*(1+'2-Premissas'!E27)</f>
        <v>1900.3137890625005</v>
      </c>
      <c r="F17" s="378">
        <f>E17*(1+'2-Premissas'!F15)*(1+'2-Premissas'!F27)</f>
        <v>2095.095952441407</v>
      </c>
      <c r="G17" s="378">
        <f>F17*(1+'2-Premissas'!G15)*(1+'2-Premissas'!G27)</f>
        <v>2309.8432875666513</v>
      </c>
      <c r="H17" s="378">
        <f>G17*(1+'2-Premissas'!H15)*(1+'2-Premissas'!H27)</f>
        <v>2546.6022245422332</v>
      </c>
      <c r="I17" s="378">
        <f>H17*(1+'2-Premissas'!I15)*(1+'2-Premissas'!I27)</f>
        <v>2807.6289525578127</v>
      </c>
      <c r="J17" s="378">
        <f>I17*(1+'2-Premissas'!J15)*(1+'2-Premissas'!J27)</f>
        <v>3095.4109201949886</v>
      </c>
      <c r="K17" s="378">
        <f>J17*(1+'2-Premissas'!K15)*(1+'2-Premissas'!K27)</f>
        <v>3412.6905395149752</v>
      </c>
      <c r="L17" s="378">
        <f>K17*(1+'2-Premissas'!L15)*(1+'2-Premissas'!L27)</f>
        <v>3762.4913198152603</v>
      </c>
      <c r="M17" s="378">
        <f>L17*(1+'2-Premissas'!M15)*(1+'2-Premissas'!M27)</f>
        <v>4148.1466800963244</v>
      </c>
      <c r="N17" s="378">
        <f>M17*(1+'2-Premissas'!N15)*(1+'2-Premissas'!N27)</f>
        <v>4573.3317148061979</v>
      </c>
      <c r="O17" s="378">
        <f>N17*(1+'2-Premissas'!O15)*(1+'2-Premissas'!O27)</f>
        <v>5042.0982155738338</v>
      </c>
    </row>
    <row r="18" spans="1:15" ht="15" customHeight="1">
      <c r="A18" s="55" t="s">
        <v>50</v>
      </c>
      <c r="B18" s="377">
        <v>19</v>
      </c>
      <c r="C18" s="378">
        <f>B18*(1+'2-Premissas'!C16)*(1+'2-Premissas'!C28)</f>
        <v>20.548500000000001</v>
      </c>
      <c r="D18" s="378">
        <f>C18*(1+'2-Premissas'!D16)*(1+'2-Premissas'!D28)</f>
        <v>29.53846875</v>
      </c>
      <c r="E18" s="378">
        <f>D18*(1+'2-Premissas'!E16)*(1+'2-Premissas'!E28)</f>
        <v>32.566161796875001</v>
      </c>
      <c r="F18" s="378">
        <f>E18*(1+'2-Premissas'!F16)*(1+'2-Premissas'!F28)</f>
        <v>35.904193381054689</v>
      </c>
      <c r="G18" s="378">
        <f>F18*(1+'2-Premissas'!G16)*(1+'2-Premissas'!G28)</f>
        <v>39.584373202612802</v>
      </c>
      <c r="H18" s="378">
        <f>G18*(1+'2-Premissas'!H16)*(1+'2-Premissas'!H28)</f>
        <v>43.641771455880615</v>
      </c>
      <c r="I18" s="378">
        <f>H18*(1+'2-Premissas'!I16)*(1+'2-Premissas'!I28)</f>
        <v>48.115053030108378</v>
      </c>
      <c r="J18" s="378">
        <f>I18*(1+'2-Premissas'!J16)*(1+'2-Premissas'!J28)</f>
        <v>53.046845965694494</v>
      </c>
      <c r="K18" s="378">
        <f>J18*(1+'2-Premissas'!K16)*(1+'2-Premissas'!K28)</f>
        <v>58.484147677178186</v>
      </c>
      <c r="L18" s="378">
        <f>K18*(1+'2-Premissas'!L16)*(1+'2-Premissas'!L28)</f>
        <v>64.478772814088956</v>
      </c>
      <c r="M18" s="378">
        <f>L18*(1+'2-Premissas'!M16)*(1+'2-Premissas'!M28)</f>
        <v>71.087847027533073</v>
      </c>
      <c r="N18" s="378">
        <f>M18*(1+'2-Premissas'!N16)*(1+'2-Premissas'!N28)</f>
        <v>78.374351347855225</v>
      </c>
      <c r="O18" s="378">
        <f>N18*(1+'2-Premissas'!O16)*(1+'2-Premissas'!O28)</f>
        <v>86.407722361010386</v>
      </c>
    </row>
    <row r="19" spans="1:15" ht="15" customHeight="1">
      <c r="A19" s="55" t="s">
        <v>111</v>
      </c>
      <c r="B19" s="379">
        <f t="shared" ref="B19:O19" si="1">B14+B16+B17+B18</f>
        <v>8479</v>
      </c>
      <c r="C19" s="379">
        <f t="shared" si="1"/>
        <v>13614.51145</v>
      </c>
      <c r="D19" s="379">
        <f t="shared" si="1"/>
        <v>15995.755331284499</v>
      </c>
      <c r="E19" s="379">
        <f t="shared" si="1"/>
        <v>18283.751886253744</v>
      </c>
      <c r="F19" s="379">
        <f t="shared" si="1"/>
        <v>20711.196398289896</v>
      </c>
      <c r="G19" s="379">
        <f t="shared" si="1"/>
        <v>23520.315533720997</v>
      </c>
      <c r="H19" s="379">
        <f t="shared" si="1"/>
        <v>26739.997837729159</v>
      </c>
      <c r="I19" s="379">
        <f t="shared" si="1"/>
        <v>27181.880618073432</v>
      </c>
      <c r="J19" s="379">
        <f t="shared" si="1"/>
        <v>27662.830314674346</v>
      </c>
      <c r="K19" s="379">
        <f t="shared" si="1"/>
        <v>28815.97497804042</v>
      </c>
      <c r="L19" s="379">
        <f t="shared" si="1"/>
        <v>31146.026871082351</v>
      </c>
      <c r="M19" s="379">
        <f t="shared" si="1"/>
        <v>33670.821192789343</v>
      </c>
      <c r="N19" s="379">
        <f t="shared" si="1"/>
        <v>36406.889162176485</v>
      </c>
      <c r="O19" s="379">
        <f t="shared" si="1"/>
        <v>39372.183505906964</v>
      </c>
    </row>
    <row r="20" spans="1:15" ht="15" customHeight="1">
      <c r="A20" s="55" t="s">
        <v>47</v>
      </c>
      <c r="B20" s="377"/>
      <c r="C20" s="380"/>
      <c r="D20" s="380"/>
      <c r="E20" s="380"/>
      <c r="F20" s="380"/>
      <c r="G20" s="380"/>
      <c r="H20" s="380"/>
      <c r="I20" s="380"/>
      <c r="J20" s="380"/>
      <c r="K20" s="380"/>
      <c r="L20" s="380"/>
      <c r="M20" s="380"/>
      <c r="N20" s="380"/>
      <c r="O20" s="380"/>
    </row>
    <row r="21" spans="1:15" ht="15" customHeight="1" thickBot="1">
      <c r="A21" s="55" t="s">
        <v>51</v>
      </c>
      <c r="B21" s="377">
        <v>-413</v>
      </c>
      <c r="C21" s="377">
        <f>-C19*'2-Premissas'!C30</f>
        <v>-680.7255725</v>
      </c>
      <c r="D21" s="377">
        <f>-D19*'2-Premissas'!D30</f>
        <v>-799.78776656422497</v>
      </c>
      <c r="E21" s="377">
        <f>-E19*'2-Premissas'!E30</f>
        <v>-914.18759431268722</v>
      </c>
      <c r="F21" s="377">
        <f>-F19*'2-Premissas'!F30</f>
        <v>-1035.5598199144949</v>
      </c>
      <c r="G21" s="377">
        <f>-G19*'2-Premissas'!G30</f>
        <v>-1176.01577668605</v>
      </c>
      <c r="H21" s="377">
        <f>-H19*'2-Premissas'!H30</f>
        <v>-1336.999891886458</v>
      </c>
      <c r="I21" s="377">
        <f>-I19*'2-Premissas'!I30</f>
        <v>-1359.0940309036716</v>
      </c>
      <c r="J21" s="377">
        <f>-J19*'2-Premissas'!J30</f>
        <v>-1383.1415157337174</v>
      </c>
      <c r="K21" s="377">
        <f>-K19*'2-Premissas'!K30</f>
        <v>-1440.7987489020211</v>
      </c>
      <c r="L21" s="377">
        <f>-L19*'2-Premissas'!L30</f>
        <v>-1557.3013435541177</v>
      </c>
      <c r="M21" s="377">
        <f>-M19*'2-Premissas'!M30</f>
        <v>-1683.5410596394672</v>
      </c>
      <c r="N21" s="377">
        <f>-N19*'2-Premissas'!N30</f>
        <v>-1820.3444581088243</v>
      </c>
      <c r="O21" s="377">
        <f>-O19*'2-Premissas'!O30</f>
        <v>-1968.6091752953482</v>
      </c>
    </row>
    <row r="22" spans="1:15" ht="15" customHeight="1" thickBot="1">
      <c r="A22" s="56" t="s">
        <v>52</v>
      </c>
      <c r="B22" s="382">
        <f>+B14+B16+B17+B18+B21</f>
        <v>8066</v>
      </c>
      <c r="C22" s="382">
        <f>B22+B22*$C$62</f>
        <v>9298.0492879321355</v>
      </c>
      <c r="D22" s="382">
        <f t="shared" ref="D22:O22" si="2">C22+C22*$C$62</f>
        <v>10718.289184331179</v>
      </c>
      <c r="E22" s="382">
        <f t="shared" si="2"/>
        <v>12355.465053089663</v>
      </c>
      <c r="F22" s="382">
        <f t="shared" si="2"/>
        <v>14242.712997638324</v>
      </c>
      <c r="G22" s="382">
        <f t="shared" si="2"/>
        <v>16418.230528875873</v>
      </c>
      <c r="H22" s="382">
        <f t="shared" si="2"/>
        <v>18926.049674946684</v>
      </c>
      <c r="I22" s="382">
        <f t="shared" si="2"/>
        <v>21816.928180449569</v>
      </c>
      <c r="J22" s="382">
        <f t="shared" si="2"/>
        <v>25149.376832766633</v>
      </c>
      <c r="K22" s="382">
        <f t="shared" si="2"/>
        <v>28990.843708386154</v>
      </c>
      <c r="L22" s="382">
        <f t="shared" si="2"/>
        <v>33419.079308121953</v>
      </c>
      <c r="M22" s="382">
        <f t="shared" si="2"/>
        <v>38523.710211285754</v>
      </c>
      <c r="N22" s="382">
        <f t="shared" si="2"/>
        <v>44408.053099249868</v>
      </c>
      <c r="O22" s="382">
        <f t="shared" si="2"/>
        <v>51191.205863864699</v>
      </c>
    </row>
    <row r="23" spans="1:15" ht="15" customHeight="1">
      <c r="A23" s="55" t="s">
        <v>57</v>
      </c>
      <c r="B23" s="378"/>
      <c r="C23" s="380"/>
      <c r="D23" s="380"/>
      <c r="E23" s="380"/>
      <c r="F23" s="380"/>
      <c r="G23" s="380"/>
      <c r="H23" s="380"/>
      <c r="I23" s="380"/>
      <c r="J23" s="380"/>
      <c r="K23" s="380"/>
      <c r="L23" s="380"/>
      <c r="M23" s="380"/>
      <c r="N23" s="380"/>
      <c r="O23" s="380"/>
    </row>
    <row r="24" spans="1:15" ht="15" customHeight="1">
      <c r="A24" s="110" t="s">
        <v>53</v>
      </c>
      <c r="B24" s="377">
        <v>-2881</v>
      </c>
      <c r="C24" s="377">
        <f>B24*(1+'2-Premissas'!C34)*(1+'2-Premissas'!C7)</f>
        <v>-3389.7846000000004</v>
      </c>
      <c r="D24" s="377">
        <f>C24*(1+'2-Premissas'!D34)*(1+'2-Premissas'!D7)</f>
        <v>-3877.3915555716003</v>
      </c>
      <c r="E24" s="377">
        <f>D24*(1+'2-Premissas'!E34)*(1+'2-Premissas'!E7)</f>
        <v>-4586.7991145789811</v>
      </c>
      <c r="F24" s="377">
        <f>E24*(1+'2-Premissas'!F34)*(1+'2-Premissas'!F7)</f>
        <v>-5348.2077675990922</v>
      </c>
      <c r="G24" s="377">
        <f>F24*(1+'2-Premissas'!G34)*(1+'2-Premissas'!G7)</f>
        <v>-6236.0102570205427</v>
      </c>
      <c r="H24" s="377">
        <f>G24*(1+'2-Premissas'!H34)*(1+'2-Premissas'!H7)</f>
        <v>-7271.1879596859544</v>
      </c>
      <c r="I24" s="377">
        <f>H24*(1+'2-Premissas'!I34)*(1+'2-Premissas'!I7)</f>
        <v>-7707.5363118594851</v>
      </c>
      <c r="J24" s="377">
        <f>I24*(1+'2-Premissas'!J34)*(1+'2-Premissas'!J7)</f>
        <v>-8170.0701904559601</v>
      </c>
      <c r="K24" s="377">
        <f>J24*(1+'2-Premissas'!K34)*(1+'2-Premissas'!K7)</f>
        <v>-8920.0826339398172</v>
      </c>
      <c r="L24" s="377">
        <f>K24*(1+'2-Premissas'!L34)*(1+'2-Premissas'!L7)</f>
        <v>-9738.9462197354933</v>
      </c>
      <c r="M24" s="377">
        <f>L24*(1+'2-Premissas'!M34)*(1+'2-Premissas'!M7)</f>
        <v>-10632.981482707211</v>
      </c>
      <c r="N24" s="377">
        <f>M24*(1+'2-Premissas'!N34)*(1+'2-Premissas'!N7)</f>
        <v>-11609.089182819733</v>
      </c>
      <c r="O24" s="377">
        <f>N24*(1+'2-Premissas'!O34)*(1+'2-Premissas'!O7)</f>
        <v>-12674.803569802585</v>
      </c>
    </row>
    <row r="25" spans="1:15" ht="15" customHeight="1">
      <c r="A25" s="110" t="s">
        <v>54</v>
      </c>
      <c r="B25" s="377">
        <v>-513</v>
      </c>
      <c r="C25" s="377">
        <f>B25*(1+'2-Premissas'!C35)*(1+'2-Premissas'!C14)</f>
        <v>-570.96900000000005</v>
      </c>
      <c r="D25" s="377">
        <f>C25*(1+'2-Premissas'!D35)*(1+'2-Premissas'!D14)</f>
        <v>-635.48849700000005</v>
      </c>
      <c r="E25" s="377">
        <f>D25*(1+'2-Premissas'!E35)*(1+'2-Premissas'!E14)</f>
        <v>-687.09016295640004</v>
      </c>
      <c r="F25" s="377">
        <f>E25*(1+'2-Premissas'!F35)*(1+'2-Premissas'!F14)</f>
        <v>-742.88188418845971</v>
      </c>
      <c r="G25" s="377">
        <f>F25*(1+'2-Premissas'!G35)*(1+'2-Premissas'!G14)</f>
        <v>-803.20389318456273</v>
      </c>
      <c r="H25" s="377">
        <f>G25*(1+'2-Premissas'!H35)*(1+'2-Premissas'!H14)</f>
        <v>-868.42404931114925</v>
      </c>
      <c r="I25" s="377">
        <f>H25*(1+'2-Premissas'!I35)*(1+'2-Premissas'!I14)</f>
        <v>-938.94008211521464</v>
      </c>
      <c r="J25" s="377">
        <f>I25*(1+'2-Premissas'!J35)*(1+'2-Premissas'!J14)</f>
        <v>-1015.1820167829701</v>
      </c>
      <c r="K25" s="377">
        <f>J25*(1+'2-Premissas'!K35)*(1+'2-Premissas'!K14)</f>
        <v>-1097.6147965457474</v>
      </c>
      <c r="L25" s="377">
        <f>K25*(1+'2-Premissas'!L35)*(1+'2-Premissas'!L14)</f>
        <v>-1186.741118025262</v>
      </c>
      <c r="M25" s="377">
        <f>L25*(1+'2-Premissas'!M35)*(1+'2-Premissas'!M14)</f>
        <v>-1283.1044968089134</v>
      </c>
      <c r="N25" s="377">
        <f>M25*(1+'2-Premissas'!N35)*(1+'2-Premissas'!N14)</f>
        <v>-1387.2925819497973</v>
      </c>
      <c r="O25" s="377">
        <f>N25*(1+'2-Premissas'!O35)*(1+'2-Premissas'!O14)</f>
        <v>-1499.9407396041208</v>
      </c>
    </row>
    <row r="26" spans="1:15" ht="15" customHeight="1">
      <c r="A26" s="110" t="s">
        <v>55</v>
      </c>
      <c r="B26" s="377">
        <v>-674</v>
      </c>
      <c r="C26" s="377">
        <f>B26*(1+'2-Premissas'!C36)+(1+'2-Premissas'!C15)</f>
        <v>-713.42000000000007</v>
      </c>
      <c r="D26" s="377">
        <f>C26*(1+'2-Premissas'!D36)+(1+'2-Premissas'!D15)</f>
        <v>-755.17520000000013</v>
      </c>
      <c r="E26" s="377">
        <f>D26*(1+'2-Premissas'!E36)+(1+'2-Premissas'!E15)</f>
        <v>-799.43571200000019</v>
      </c>
      <c r="F26" s="377">
        <f>E26*(1+'2-Premissas'!F36)+(1+'2-Premissas'!F15)</f>
        <v>-846.35185472000035</v>
      </c>
      <c r="G26" s="377">
        <f>F26*(1+'2-Premissas'!G36)+(1+'2-Premissas'!G15)</f>
        <v>-896.08296600320045</v>
      </c>
      <c r="H26" s="377">
        <f>G26*(1+'2-Premissas'!H36)+(1+'2-Premissas'!H15)</f>
        <v>-948.79794396339253</v>
      </c>
      <c r="I26" s="377">
        <f>H26*(1+'2-Premissas'!I36)+(1+'2-Premissas'!I15)</f>
        <v>-1004.6758206011962</v>
      </c>
      <c r="J26" s="377">
        <f>I26*(1+'2-Premissas'!J36)+(1+'2-Premissas'!J15)</f>
        <v>-1063.9063698372681</v>
      </c>
      <c r="K26" s="377">
        <f>J26*(1+'2-Premissas'!K36)+(1+'2-Premissas'!K15)</f>
        <v>-1126.6907520275042</v>
      </c>
      <c r="L26" s="377">
        <f>K26*(1+'2-Premissas'!L36)+(1+'2-Premissas'!L15)</f>
        <v>-1193.2421971491547</v>
      </c>
      <c r="M26" s="377">
        <f>L26*(1+'2-Premissas'!M36)+(1+'2-Premissas'!M15)</f>
        <v>-1263.7867289781041</v>
      </c>
      <c r="N26" s="377">
        <f>M26*(1+'2-Premissas'!N36)+(1+'2-Premissas'!N15)</f>
        <v>-1338.5639327167905</v>
      </c>
      <c r="O26" s="377">
        <f>N26*(1+'2-Premissas'!O36)+(1+'2-Premissas'!O15)</f>
        <v>-1417.8277686797981</v>
      </c>
    </row>
    <row r="27" spans="1:15" ht="15" customHeight="1">
      <c r="A27" s="110" t="s">
        <v>56</v>
      </c>
      <c r="B27" s="377">
        <v>-13</v>
      </c>
      <c r="C27" s="377">
        <f>B27*(1+'2-Premissas'!C37)*(1+'2-Premissas'!C16)</f>
        <v>-14.469000000000001</v>
      </c>
      <c r="D27" s="377">
        <f>C27*(1+'2-Premissas'!D37)*(1+'2-Premissas'!D16)</f>
        <v>-17.637710999999999</v>
      </c>
      <c r="E27" s="377">
        <f>D27*(1+'2-Premissas'!E37)*(1+'2-Premissas'!E16)</f>
        <v>-19.630772343</v>
      </c>
      <c r="F27" s="377">
        <f>E27*(1+'2-Premissas'!F37)*(1+'2-Premissas'!F16)</f>
        <v>-21.849049617759</v>
      </c>
      <c r="G27" s="377">
        <f>F27*(1+'2-Premissas'!G37)*(1+'2-Premissas'!G16)</f>
        <v>-24.317992224565767</v>
      </c>
      <c r="H27" s="377">
        <f>G27*(1+'2-Premissas'!H37)*(1+'2-Premissas'!H16)</f>
        <v>-27.0659253459417</v>
      </c>
      <c r="I27" s="377">
        <f>H27*(1+'2-Premissas'!I37)*(1+'2-Premissas'!I16)</f>
        <v>-30.124374910033115</v>
      </c>
      <c r="J27" s="377">
        <f>I27*(1+'2-Premissas'!J37)*(1+'2-Premissas'!J16)</f>
        <v>-33.528429274866859</v>
      </c>
      <c r="K27" s="377">
        <f>J27*(1+'2-Premissas'!K37)*(1+'2-Premissas'!K16)</f>
        <v>-37.317141782926818</v>
      </c>
      <c r="L27" s="377">
        <f>K27*(1+'2-Premissas'!L37)*(1+'2-Premissas'!L16)</f>
        <v>-41.533978804397549</v>
      </c>
      <c r="M27" s="377">
        <f>L27*(1+'2-Premissas'!M37)*(1+'2-Premissas'!M16)</f>
        <v>-46.227318409294476</v>
      </c>
      <c r="N27" s="377">
        <f>M27*(1+'2-Premissas'!N37)*(1+'2-Premissas'!N16)</f>
        <v>-51.451005389544761</v>
      </c>
      <c r="O27" s="377">
        <f>N27*(1+'2-Premissas'!O37)*(1+'2-Premissas'!O16)</f>
        <v>-57.264968998563326</v>
      </c>
    </row>
    <row r="28" spans="1:15" ht="15" customHeight="1">
      <c r="A28" s="55" t="s">
        <v>112</v>
      </c>
      <c r="B28" s="379">
        <f t="shared" ref="B28:O28" si="3">SUM(B24:B27)</f>
        <v>-4081</v>
      </c>
      <c r="C28" s="379">
        <f t="shared" si="3"/>
        <v>-4688.6426000000001</v>
      </c>
      <c r="D28" s="379">
        <f t="shared" si="3"/>
        <v>-5285.6929635716015</v>
      </c>
      <c r="E28" s="379">
        <f t="shared" si="3"/>
        <v>-6092.955761878382</v>
      </c>
      <c r="F28" s="379">
        <f t="shared" si="3"/>
        <v>-6959.290556125311</v>
      </c>
      <c r="G28" s="379">
        <f t="shared" si="3"/>
        <v>-7959.6151084328712</v>
      </c>
      <c r="H28" s="379">
        <f t="shared" si="3"/>
        <v>-9115.4758783064372</v>
      </c>
      <c r="I28" s="379">
        <f t="shared" si="3"/>
        <v>-9681.2765894859294</v>
      </c>
      <c r="J28" s="379">
        <f t="shared" si="3"/>
        <v>-10282.687006351065</v>
      </c>
      <c r="K28" s="379">
        <f t="shared" si="3"/>
        <v>-11181.705324295996</v>
      </c>
      <c r="L28" s="379">
        <f t="shared" si="3"/>
        <v>-12160.463513714309</v>
      </c>
      <c r="M28" s="379">
        <f t="shared" si="3"/>
        <v>-13226.100026903523</v>
      </c>
      <c r="N28" s="379">
        <f t="shared" si="3"/>
        <v>-14386.396702875865</v>
      </c>
      <c r="O28" s="379">
        <f t="shared" si="3"/>
        <v>-15649.837047085066</v>
      </c>
    </row>
    <row r="29" spans="1:15" ht="15" customHeight="1" thickBot="1">
      <c r="A29" s="64" t="s">
        <v>10</v>
      </c>
      <c r="B29" s="383">
        <f t="shared" ref="B29:O29" si="4">+B22+B28</f>
        <v>3985</v>
      </c>
      <c r="C29" s="383">
        <f t="shared" si="4"/>
        <v>4609.4066879321354</v>
      </c>
      <c r="D29" s="383">
        <f t="shared" si="4"/>
        <v>5432.5962207595776</v>
      </c>
      <c r="E29" s="383">
        <f t="shared" si="4"/>
        <v>6262.5092912112814</v>
      </c>
      <c r="F29" s="383">
        <f t="shared" si="4"/>
        <v>7283.4224415130129</v>
      </c>
      <c r="G29" s="383">
        <f t="shared" si="4"/>
        <v>8458.6154204430022</v>
      </c>
      <c r="H29" s="383">
        <f t="shared" si="4"/>
        <v>9810.5737966402467</v>
      </c>
      <c r="I29" s="383">
        <f t="shared" si="4"/>
        <v>12135.65159096364</v>
      </c>
      <c r="J29" s="383">
        <f t="shared" si="4"/>
        <v>14866.689826415568</v>
      </c>
      <c r="K29" s="383">
        <f t="shared" si="4"/>
        <v>17809.138384090158</v>
      </c>
      <c r="L29" s="383">
        <f t="shared" si="4"/>
        <v>21258.615794407644</v>
      </c>
      <c r="M29" s="383">
        <f t="shared" si="4"/>
        <v>25297.610184382233</v>
      </c>
      <c r="N29" s="383">
        <f t="shared" si="4"/>
        <v>30021.656396374005</v>
      </c>
      <c r="O29" s="383">
        <f t="shared" si="4"/>
        <v>35541.368816779635</v>
      </c>
    </row>
    <row r="30" spans="1:15" ht="15" customHeight="1">
      <c r="A30" s="57" t="s">
        <v>113</v>
      </c>
      <c r="B30" s="384"/>
      <c r="C30" s="384"/>
      <c r="D30" s="381"/>
      <c r="E30" s="384"/>
      <c r="F30" s="384"/>
      <c r="G30" s="381"/>
      <c r="H30" s="384"/>
      <c r="I30" s="384"/>
      <c r="J30" s="381"/>
      <c r="K30" s="384"/>
      <c r="L30" s="384"/>
      <c r="M30" s="381"/>
      <c r="N30" s="384"/>
      <c r="O30" s="384"/>
    </row>
    <row r="31" spans="1:15" ht="15" customHeight="1">
      <c r="A31" s="110" t="s">
        <v>58</v>
      </c>
      <c r="B31" s="377">
        <v>-452</v>
      </c>
      <c r="C31" s="377">
        <f>B31*(1+'2-Premissas'!C41)</f>
        <v>-497.20000000000005</v>
      </c>
      <c r="D31" s="377">
        <f>C31*(1+'2-Premissas'!D41)</f>
        <v>-546.92000000000007</v>
      </c>
      <c r="E31" s="377">
        <f>D31*(1+'2-Premissas'!E41)</f>
        <v>-601.61200000000008</v>
      </c>
      <c r="F31" s="377">
        <f>E31*(1+'2-Premissas'!F41)</f>
        <v>-661.77320000000009</v>
      </c>
      <c r="G31" s="377">
        <f>F31*(1+'2-Premissas'!G41)</f>
        <v>-727.95052000000021</v>
      </c>
      <c r="H31" s="377">
        <f>G31*(1+'2-Premissas'!H41)</f>
        <v>-800.74557200000027</v>
      </c>
      <c r="I31" s="377">
        <f>H31*(1+'2-Premissas'!I41)</f>
        <v>-880.82012920000034</v>
      </c>
      <c r="J31" s="377">
        <f>I31*(1+'2-Premissas'!J41)</f>
        <v>-968.90214212000046</v>
      </c>
      <c r="K31" s="377">
        <f>J31*(1+'2-Premissas'!K41)</f>
        <v>-1065.7923563320005</v>
      </c>
      <c r="L31" s="377">
        <f>K31*(1+'2-Premissas'!L41)</f>
        <v>-1172.3715919652007</v>
      </c>
      <c r="M31" s="377">
        <f>L31*(1+'2-Premissas'!M41)</f>
        <v>-1289.6087511617209</v>
      </c>
      <c r="N31" s="377">
        <f>M31*(1+'2-Premissas'!N41)</f>
        <v>-1418.5696262778931</v>
      </c>
      <c r="O31" s="377">
        <f>N31*(1+'2-Premissas'!O41)</f>
        <v>-1560.4265889056826</v>
      </c>
    </row>
    <row r="32" spans="1:15" ht="15" customHeight="1">
      <c r="A32" s="110" t="s">
        <v>59</v>
      </c>
      <c r="B32" s="377">
        <v>-153</v>
      </c>
      <c r="C32" s="377">
        <f>B32*(1+'2-Premissas'!C42)</f>
        <v>-214.2</v>
      </c>
      <c r="D32" s="377">
        <f>C32*(1+'2-Premissas'!D42)</f>
        <v>-299.87999999999994</v>
      </c>
      <c r="E32" s="377">
        <f>D32*(1+'2-Premissas'!E42)</f>
        <v>-419.83199999999988</v>
      </c>
      <c r="F32" s="377">
        <f>E32*(1+'2-Premissas'!F42)</f>
        <v>-587.76479999999981</v>
      </c>
      <c r="G32" s="377">
        <f>F32*(1+'2-Premissas'!G42)</f>
        <v>-605.39774399999988</v>
      </c>
      <c r="H32" s="377">
        <f>G32*(1+'2-Premissas'!H42)</f>
        <v>-623.55967631999988</v>
      </c>
      <c r="I32" s="377">
        <f>H32*(1+'2-Premissas'!I42)</f>
        <v>-642.26646660959989</v>
      </c>
      <c r="J32" s="377">
        <f>I32*(1+'2-Premissas'!J42)</f>
        <v>-661.53446060788792</v>
      </c>
      <c r="K32" s="377">
        <f>J32*(1+'2-Premissas'!K42)</f>
        <v>-681.38049442612453</v>
      </c>
      <c r="L32" s="377">
        <f>K32*(1+'2-Premissas'!L42)</f>
        <v>-701.82190925890825</v>
      </c>
      <c r="M32" s="377">
        <f>L32*(1+'2-Premissas'!M42)</f>
        <v>-722.87656653667557</v>
      </c>
      <c r="N32" s="377">
        <f>M32*(1+'2-Premissas'!N42)</f>
        <v>-744.56286353277585</v>
      </c>
      <c r="O32" s="377">
        <f>N32*(1+'2-Premissas'!O42)</f>
        <v>-766.89974943875916</v>
      </c>
    </row>
    <row r="33" spans="1:15" ht="15" customHeight="1">
      <c r="A33" s="110" t="s">
        <v>60</v>
      </c>
      <c r="B33" s="377">
        <v>-69</v>
      </c>
      <c r="C33" s="377">
        <f>B33*(1+'2-Premissas'!C43)</f>
        <v>-71.070000000000007</v>
      </c>
      <c r="D33" s="377">
        <f>C33*(1+'2-Premissas'!D43)</f>
        <v>-73.202100000000016</v>
      </c>
      <c r="E33" s="377">
        <f>D33*(1+'2-Premissas'!E43)</f>
        <v>-75.398163000000025</v>
      </c>
      <c r="F33" s="377">
        <f>E33*(1+'2-Premissas'!F43)</f>
        <v>-77.660107890000035</v>
      </c>
      <c r="G33" s="377">
        <f>F33*(1+'2-Premissas'!G43)</f>
        <v>-79.989911126700036</v>
      </c>
      <c r="H33" s="377">
        <f>G33*(1+'2-Premissas'!H43)</f>
        <v>-82.389608460501037</v>
      </c>
      <c r="I33" s="377">
        <f>H33*(1+'2-Premissas'!I43)</f>
        <v>-84.861296714316069</v>
      </c>
      <c r="J33" s="377">
        <f>I33*(1+'2-Premissas'!J43)</f>
        <v>-87.40713561574556</v>
      </c>
      <c r="K33" s="377">
        <f>J33*(1+'2-Premissas'!K43)</f>
        <v>-90.029349684217934</v>
      </c>
      <c r="L33" s="377">
        <f>K33*(1+'2-Premissas'!L43)</f>
        <v>-92.730230174744477</v>
      </c>
      <c r="M33" s="377">
        <f>L33*(1+'2-Premissas'!M43)</f>
        <v>-95.512137079986815</v>
      </c>
      <c r="N33" s="377">
        <f>M33*(1+'2-Premissas'!N43)</f>
        <v>-98.377501192386418</v>
      </c>
      <c r="O33" s="377">
        <f>N33*(1+'2-Premissas'!O43)</f>
        <v>-101.32882622815801</v>
      </c>
    </row>
    <row r="34" spans="1:15" ht="15" customHeight="1" thickBot="1">
      <c r="A34" s="110" t="s">
        <v>4</v>
      </c>
      <c r="B34" s="377">
        <v>-188</v>
      </c>
      <c r="C34" s="377">
        <f>B34*(1+'2-Premissas'!C44)</f>
        <v>-191.76</v>
      </c>
      <c r="D34" s="377">
        <f>C34*(1+'2-Premissas'!D44)</f>
        <v>-195.59520000000001</v>
      </c>
      <c r="E34" s="377">
        <f>D34*(1+'2-Premissas'!E44)</f>
        <v>-199.507104</v>
      </c>
      <c r="F34" s="377">
        <f>E34*(1+'2-Premissas'!F44)</f>
        <v>-203.49724608</v>
      </c>
      <c r="G34" s="377">
        <f>F34*(1+'2-Premissas'!G44)</f>
        <v>-207.56719100160001</v>
      </c>
      <c r="H34" s="377">
        <f>G34*(1+'2-Premissas'!H44)</f>
        <v>-211.71853482163201</v>
      </c>
      <c r="I34" s="377">
        <f>H34*(1+'2-Premissas'!I44)</f>
        <v>-215.95290551806465</v>
      </c>
      <c r="J34" s="377">
        <f>I34*(1+'2-Premissas'!J44)</f>
        <v>-220.27196362842594</v>
      </c>
      <c r="K34" s="377">
        <f>J34*(1+'2-Premissas'!K44)</f>
        <v>-224.67740290099445</v>
      </c>
      <c r="L34" s="377">
        <f>K34*(1+'2-Premissas'!L44)</f>
        <v>-229.17095095901433</v>
      </c>
      <c r="M34" s="377">
        <f>L34*(1+'2-Premissas'!M44)</f>
        <v>-233.75436997819463</v>
      </c>
      <c r="N34" s="377">
        <f>M34*(1+'2-Premissas'!N44)</f>
        <v>-238.42945737775852</v>
      </c>
      <c r="O34" s="377">
        <f>N34*(1+'2-Premissas'!O44)</f>
        <v>-243.19804652531369</v>
      </c>
    </row>
    <row r="35" spans="1:15" ht="15" customHeight="1" thickBot="1">
      <c r="A35" s="56" t="s">
        <v>11</v>
      </c>
      <c r="B35" s="382">
        <f t="shared" ref="B35:O35" si="5">SUM(B29:B34)-B36</f>
        <v>3522</v>
      </c>
      <c r="C35" s="382">
        <f t="shared" si="5"/>
        <v>4275.7766879321362</v>
      </c>
      <c r="D35" s="382">
        <f t="shared" si="5"/>
        <v>5057.5989207595776</v>
      </c>
      <c r="E35" s="382">
        <f t="shared" si="5"/>
        <v>5806.7600242112821</v>
      </c>
      <c r="F35" s="382">
        <f t="shared" si="5"/>
        <v>6668.3270875430126</v>
      </c>
      <c r="G35" s="382">
        <f t="shared" si="5"/>
        <v>7828.310054314702</v>
      </c>
      <c r="H35" s="382">
        <f t="shared" si="5"/>
        <v>9274.260405038116</v>
      </c>
      <c r="I35" s="382">
        <f t="shared" si="5"/>
        <v>11685.350792921658</v>
      </c>
      <c r="J35" s="382">
        <f t="shared" si="5"/>
        <v>14493.674124443509</v>
      </c>
      <c r="K35" s="382">
        <f t="shared" si="5"/>
        <v>17503.858780746821</v>
      </c>
      <c r="L35" s="382">
        <f t="shared" si="5"/>
        <v>21010.621112049772</v>
      </c>
      <c r="M35" s="382">
        <f t="shared" si="5"/>
        <v>25095.458359625649</v>
      </c>
      <c r="N35" s="382">
        <f t="shared" si="5"/>
        <v>29852.816947993186</v>
      </c>
      <c r="O35" s="382">
        <f t="shared" si="5"/>
        <v>35392.11560568172</v>
      </c>
    </row>
    <row r="36" spans="1:15" ht="15" customHeight="1" thickBot="1">
      <c r="A36" s="53" t="s">
        <v>12</v>
      </c>
      <c r="B36" s="377">
        <v>-399</v>
      </c>
      <c r="C36" s="377">
        <f>-'3-Balanço'!D21*'2-Premissas'!C46</f>
        <v>-640.6</v>
      </c>
      <c r="D36" s="377">
        <f>-'3-Balanço'!E21*'2-Premissas'!D46</f>
        <v>-740.6</v>
      </c>
      <c r="E36" s="377">
        <f>-'3-Balanço'!F21*'2-Premissas'!E46</f>
        <v>-840.6</v>
      </c>
      <c r="F36" s="377">
        <f>-'3-Balanço'!G21*'2-Premissas'!F46</f>
        <v>-915.6</v>
      </c>
      <c r="G36" s="377">
        <f>-'3-Balanço'!H21*'2-Premissas'!G46</f>
        <v>-990.6</v>
      </c>
      <c r="H36" s="377">
        <f>-'3-Balanço'!I21*'2-Premissas'!H46</f>
        <v>-1182.1000000000001</v>
      </c>
      <c r="I36" s="377">
        <f>-'3-Balanço'!J21*'2-Premissas'!I46</f>
        <v>-1373.6000000000001</v>
      </c>
      <c r="J36" s="377">
        <f>-'3-Balanço'!K21*'2-Premissas'!J46</f>
        <v>-1565.1000000000001</v>
      </c>
      <c r="K36" s="377">
        <f>-'3-Balanço'!L21*'2-Premissas'!K46</f>
        <v>-1756.6000000000001</v>
      </c>
      <c r="L36" s="377">
        <f>-'3-Balanço'!M21*'2-Premissas'!L46</f>
        <v>-1948.1000000000001</v>
      </c>
      <c r="M36" s="377">
        <f>-'3-Balanço'!N21*'2-Premissas'!M46</f>
        <v>-2139.6</v>
      </c>
      <c r="N36" s="377">
        <f>-'3-Balanço'!O21*'2-Premissas'!N46</f>
        <v>-2331.1</v>
      </c>
      <c r="O36" s="377">
        <f>-'3-Balanço'!P21*'2-Premissas'!O46</f>
        <v>-2522.6000000000004</v>
      </c>
    </row>
    <row r="37" spans="1:15" ht="15" customHeight="1" thickBot="1">
      <c r="A37" s="56" t="s">
        <v>13</v>
      </c>
      <c r="B37" s="382">
        <f t="shared" ref="B37:O37" si="6">B35+B36</f>
        <v>3123</v>
      </c>
      <c r="C37" s="382">
        <f t="shared" si="6"/>
        <v>3635.1766879321362</v>
      </c>
      <c r="D37" s="382">
        <f t="shared" si="6"/>
        <v>4316.9989207595772</v>
      </c>
      <c r="E37" s="382">
        <f t="shared" si="6"/>
        <v>4966.1600242112818</v>
      </c>
      <c r="F37" s="382">
        <f t="shared" si="6"/>
        <v>5752.7270875430122</v>
      </c>
      <c r="G37" s="382">
        <f t="shared" si="6"/>
        <v>6837.7100543147017</v>
      </c>
      <c r="H37" s="382">
        <f t="shared" si="6"/>
        <v>8092.1604050381156</v>
      </c>
      <c r="I37" s="382">
        <f t="shared" si="6"/>
        <v>10311.750792921657</v>
      </c>
      <c r="J37" s="382">
        <f t="shared" si="6"/>
        <v>12928.574124443508</v>
      </c>
      <c r="K37" s="382">
        <f t="shared" si="6"/>
        <v>15747.258780746821</v>
      </c>
      <c r="L37" s="382">
        <f t="shared" si="6"/>
        <v>19062.521112049773</v>
      </c>
      <c r="M37" s="382">
        <f t="shared" si="6"/>
        <v>22955.85835962565</v>
      </c>
      <c r="N37" s="382">
        <f t="shared" si="6"/>
        <v>27521.716947993187</v>
      </c>
      <c r="O37" s="382">
        <f t="shared" si="6"/>
        <v>32869.515605681721</v>
      </c>
    </row>
    <row r="38" spans="1:15" ht="15" customHeight="1">
      <c r="A38" s="53" t="s">
        <v>62</v>
      </c>
      <c r="B38" s="377">
        <v>82</v>
      </c>
      <c r="C38" s="377">
        <f>'3-Balanço'!D8*'2-Premissas'!C55</f>
        <v>124.9</v>
      </c>
      <c r="D38" s="377">
        <f>'3-Balanço'!E8*'2-Premissas'!D55</f>
        <v>53.388662461670904</v>
      </c>
      <c r="E38" s="377">
        <f>'3-Balanço'!F8*'2-Premissas'!E55</f>
        <v>74.871051432809693</v>
      </c>
      <c r="F38" s="377">
        <f>'3-Balanço'!G8*'2-Premissas'!F55</f>
        <v>229.14634892186393</v>
      </c>
      <c r="G38" s="377">
        <f>'3-Balanço'!H8*'2-Premissas'!G55</f>
        <v>451.97571332563132</v>
      </c>
      <c r="H38" s="377">
        <f>'3-Balanço'!I8*'2-Premissas'!H55</f>
        <v>114.98631464418732</v>
      </c>
      <c r="I38" s="377">
        <f>'3-Balanço'!J8*'2-Premissas'!I55</f>
        <v>26.320252498449282</v>
      </c>
      <c r="J38" s="377">
        <f>'3-Balanço'!K8*'2-Premissas'!J55</f>
        <v>88.567263918917206</v>
      </c>
      <c r="K38" s="377">
        <f>'3-Balanço'!L8*'2-Premissas'!K55</f>
        <v>199.23077184526232</v>
      </c>
      <c r="L38" s="377">
        <f>'3-Balanço'!M8*'2-Premissas'!L55</f>
        <v>385.16520229777711</v>
      </c>
      <c r="M38" s="377">
        <f>'3-Balanço'!N8*'2-Premissas'!M55</f>
        <v>567.62810939502049</v>
      </c>
      <c r="N38" s="377">
        <f>'3-Balanço'!O8*'2-Premissas'!N55</f>
        <v>873.73836771992887</v>
      </c>
      <c r="O38" s="377">
        <f>'3-Balanço'!P8*'2-Premissas'!O55</f>
        <v>1326.2748820316126</v>
      </c>
    </row>
    <row r="39" spans="1:15" ht="15" customHeight="1">
      <c r="A39" s="53" t="s">
        <v>61</v>
      </c>
      <c r="B39" s="377">
        <v>-671</v>
      </c>
      <c r="C39" s="377">
        <f>-('3-Balanço'!D46+'3-Balanço'!D47+'3-Balanço'!D48+'3-Balanço'!D55+'3-Balanço'!D56)*'2-Premissas'!C57</f>
        <v>-302.35246829268294</v>
      </c>
      <c r="D39" s="377">
        <f>-('3-Balanço'!E46+'3-Balanço'!E47+'3-Balanço'!E48+'3-Balanço'!E55+'3-Balanço'!E56)*'2-Premissas'!D57</f>
        <v>-306.626112195122</v>
      </c>
      <c r="E39" s="377">
        <f>-('3-Balanço'!F46+'3-Balanço'!F47+'3-Balanço'!F48+'3-Balanço'!F55+'3-Balanço'!F56)*'2-Premissas'!E57</f>
        <v>-325.77075609756099</v>
      </c>
      <c r="F39" s="377">
        <f>-('3-Balanço'!G46+'3-Balanço'!G47+'3-Balanço'!G48+'3-Balanço'!G55+'3-Balanço'!G56)*'2-Premissas'!F57</f>
        <v>-368.17421707317078</v>
      </c>
      <c r="G39" s="377">
        <f>-('3-Balanço'!H46+'3-Balanço'!H47+'3-Balanço'!H48+'3-Balanço'!H55+'3-Balanço'!H56)*'2-Premissas'!G57</f>
        <v>-428.38368780487809</v>
      </c>
      <c r="H39" s="377">
        <f>-('3-Balanço'!I46+'3-Balanço'!I47+'3-Balanço'!I48+'3-Balanço'!I55+'3-Balanço'!I56)*'2-Premissas'!H57</f>
        <v>-287.1016156097561</v>
      </c>
      <c r="I39" s="377">
        <f>-('3-Balanço'!J46+'3-Balanço'!J47+'3-Balanço'!J48+'3-Balanço'!J55+'3-Balanço'!J56)*'2-Premissas'!I57</f>
        <v>-309.17697073170734</v>
      </c>
      <c r="J39" s="377">
        <f>-('3-Balanço'!K46+'3-Balanço'!K47+'3-Balanço'!K48+'3-Balanço'!K55+'3-Balanço'!K56)*'2-Premissas'!J57</f>
        <v>-330.54652878048779</v>
      </c>
      <c r="K39" s="377">
        <f>-('3-Balanço'!L46+'3-Balanço'!L47+'3-Balanço'!L48+'3-Balanço'!L55+'3-Balanço'!L56)*'2-Premissas'!K57</f>
        <v>-321.2887843902439</v>
      </c>
      <c r="L39" s="377">
        <f>-('3-Balanço'!M46+'3-Balanço'!M47+'3-Balanço'!M48+'3-Balanço'!M55+'3-Balanço'!M56)*'2-Premissas'!L57</f>
        <v>-314.8249258536585</v>
      </c>
      <c r="M39" s="377">
        <f>-('3-Balanço'!N46+'3-Balanço'!N47+'3-Balanço'!N48+'3-Balanço'!N55+'3-Balanço'!N56)*'2-Premissas'!M57</f>
        <v>-246.89408487804877</v>
      </c>
      <c r="N39" s="377">
        <f>-('3-Balanço'!O46+'3-Balanço'!O47+'3-Balanço'!O48+'3-Balanço'!O55+'3-Balanço'!O56)*'2-Premissas'!N57</f>
        <v>-184.78986536585364</v>
      </c>
      <c r="O39" s="377">
        <f>-('3-Balanço'!P46+'3-Balanço'!P47+'3-Balanço'!P48+'3-Balanço'!P55+'3-Balanço'!P56)*'2-Premissas'!O57</f>
        <v>-129.96856975609754</v>
      </c>
    </row>
    <row r="40" spans="1:15" ht="15" customHeight="1">
      <c r="A40" s="53" t="s">
        <v>63</v>
      </c>
      <c r="B40" s="377">
        <v>65</v>
      </c>
      <c r="C40" s="377">
        <v>65</v>
      </c>
      <c r="D40" s="377">
        <v>65</v>
      </c>
      <c r="E40" s="377">
        <v>65</v>
      </c>
      <c r="F40" s="377">
        <v>65</v>
      </c>
      <c r="G40" s="377">
        <v>65</v>
      </c>
      <c r="H40" s="377">
        <v>65</v>
      </c>
      <c r="I40" s="377">
        <v>65</v>
      </c>
      <c r="J40" s="377">
        <v>65</v>
      </c>
      <c r="K40" s="377">
        <v>65</v>
      </c>
      <c r="L40" s="377">
        <v>65</v>
      </c>
      <c r="M40" s="377">
        <v>65</v>
      </c>
      <c r="N40" s="377">
        <v>65</v>
      </c>
      <c r="O40" s="377">
        <v>65</v>
      </c>
    </row>
    <row r="41" spans="1:15" ht="15" customHeight="1">
      <c r="A41" s="53" t="s">
        <v>64</v>
      </c>
      <c r="B41" s="377">
        <v>404</v>
      </c>
      <c r="C41" s="377">
        <v>404</v>
      </c>
      <c r="D41" s="377">
        <v>404</v>
      </c>
      <c r="E41" s="377">
        <v>404</v>
      </c>
      <c r="F41" s="377">
        <v>404</v>
      </c>
      <c r="G41" s="377">
        <v>404</v>
      </c>
      <c r="H41" s="377">
        <v>404</v>
      </c>
      <c r="I41" s="377">
        <v>404</v>
      </c>
      <c r="J41" s="377">
        <v>404</v>
      </c>
      <c r="K41" s="377">
        <v>404</v>
      </c>
      <c r="L41" s="377">
        <v>404</v>
      </c>
      <c r="M41" s="377">
        <v>404</v>
      </c>
      <c r="N41" s="377">
        <v>404</v>
      </c>
      <c r="O41" s="377">
        <v>404</v>
      </c>
    </row>
    <row r="42" spans="1:15" ht="15" customHeight="1" thickBot="1">
      <c r="A42" s="53"/>
      <c r="B42" s="377"/>
      <c r="C42" s="377"/>
      <c r="D42" s="377"/>
      <c r="E42" s="377"/>
      <c r="F42" s="377"/>
      <c r="G42" s="377"/>
      <c r="H42" s="377"/>
      <c r="I42" s="377"/>
      <c r="J42" s="377"/>
      <c r="K42" s="377"/>
      <c r="L42" s="377"/>
      <c r="M42" s="377"/>
      <c r="N42" s="377"/>
      <c r="O42" s="377"/>
    </row>
    <row r="43" spans="1:15" ht="15" customHeight="1" thickBot="1">
      <c r="A43" s="56" t="s">
        <v>14</v>
      </c>
      <c r="B43" s="382">
        <f t="shared" ref="B43:O43" si="7">SUM(B37:B42)</f>
        <v>3003</v>
      </c>
      <c r="C43" s="382">
        <f t="shared" si="7"/>
        <v>3926.7242196394536</v>
      </c>
      <c r="D43" s="382">
        <f t="shared" si="7"/>
        <v>4532.7614710261259</v>
      </c>
      <c r="E43" s="382">
        <f t="shared" si="7"/>
        <v>5184.2603195465299</v>
      </c>
      <c r="F43" s="382">
        <f t="shared" si="7"/>
        <v>6082.6992193917058</v>
      </c>
      <c r="G43" s="382">
        <f t="shared" si="7"/>
        <v>7330.3020798354555</v>
      </c>
      <c r="H43" s="382">
        <f t="shared" si="7"/>
        <v>8389.0451040725475</v>
      </c>
      <c r="I43" s="382">
        <f t="shared" si="7"/>
        <v>10497.8940746884</v>
      </c>
      <c r="J43" s="382">
        <f t="shared" si="7"/>
        <v>13155.594859581939</v>
      </c>
      <c r="K43" s="382">
        <f t="shared" si="7"/>
        <v>16094.200768201839</v>
      </c>
      <c r="L43" s="382">
        <f t="shared" si="7"/>
        <v>19601.86138849389</v>
      </c>
      <c r="M43" s="382">
        <f t="shared" si="7"/>
        <v>23745.592384142623</v>
      </c>
      <c r="N43" s="382">
        <f t="shared" si="7"/>
        <v>28679.665450347264</v>
      </c>
      <c r="O43" s="382">
        <f t="shared" si="7"/>
        <v>34534.821917957233</v>
      </c>
    </row>
    <row r="44" spans="1:15" ht="15" customHeight="1">
      <c r="A44" s="55" t="s">
        <v>65</v>
      </c>
      <c r="B44" s="380"/>
      <c r="C44" s="380"/>
      <c r="D44" s="380"/>
      <c r="E44" s="380"/>
      <c r="F44" s="380"/>
      <c r="G44" s="380"/>
      <c r="H44" s="380"/>
      <c r="I44" s="380"/>
      <c r="J44" s="380"/>
      <c r="K44" s="380"/>
      <c r="L44" s="380"/>
      <c r="M44" s="380"/>
      <c r="N44" s="380"/>
      <c r="O44" s="380"/>
    </row>
    <row r="45" spans="1:15" ht="15" customHeight="1">
      <c r="A45" s="110" t="s">
        <v>66</v>
      </c>
      <c r="B45" s="377">
        <v>-433</v>
      </c>
      <c r="C45" s="377">
        <f>C43*-'2-Premissas'!C47</f>
        <v>-981.68105490986341</v>
      </c>
      <c r="D45" s="377">
        <f>D43*-'2-Premissas'!D47</f>
        <v>-1541.1389001488828</v>
      </c>
      <c r="E45" s="377">
        <f>E43*-'2-Premissas'!E47</f>
        <v>-1762.6485086458204</v>
      </c>
      <c r="F45" s="377">
        <f>F43*-'2-Premissas'!F47</f>
        <v>-2068.1177345931801</v>
      </c>
      <c r="G45" s="377">
        <f>G43*-'2-Premissas'!G47</f>
        <v>-2492.3027071440551</v>
      </c>
      <c r="H45" s="377">
        <f>H43*-'2-Premissas'!H47</f>
        <v>-2852.2753353846665</v>
      </c>
      <c r="I45" s="377">
        <f>I43*-'2-Premissas'!I47</f>
        <v>-3569.2839853940563</v>
      </c>
      <c r="J45" s="377">
        <f>J43*-'2-Premissas'!J47</f>
        <v>-4472.9022522578598</v>
      </c>
      <c r="K45" s="377">
        <f>K43*-'2-Premissas'!K47</f>
        <v>-5472.0282611886259</v>
      </c>
      <c r="L45" s="377">
        <f>L43*-'2-Premissas'!L47</f>
        <v>-6664.6328720879228</v>
      </c>
      <c r="M45" s="377">
        <f>M43*-'2-Premissas'!M47</f>
        <v>-8073.5014106084927</v>
      </c>
      <c r="N45" s="377">
        <f>N43*-'2-Premissas'!N47</f>
        <v>-9751.0862531180701</v>
      </c>
      <c r="O45" s="377">
        <f>O43*-'2-Premissas'!O47</f>
        <v>-11741.83945210546</v>
      </c>
    </row>
    <row r="46" spans="1:15" ht="15" customHeight="1">
      <c r="A46" s="110" t="s">
        <v>67</v>
      </c>
      <c r="B46" s="377">
        <v>-316</v>
      </c>
      <c r="C46" s="377">
        <v>-316</v>
      </c>
      <c r="D46" s="377">
        <v>-316</v>
      </c>
      <c r="E46" s="377">
        <v>-316</v>
      </c>
      <c r="F46" s="377">
        <v>-316</v>
      </c>
      <c r="G46" s="377">
        <v>-316</v>
      </c>
      <c r="H46" s="377">
        <v>-316</v>
      </c>
      <c r="I46" s="377">
        <v>-316</v>
      </c>
      <c r="J46" s="377">
        <v>-316</v>
      </c>
      <c r="K46" s="377">
        <v>-316</v>
      </c>
      <c r="L46" s="377">
        <v>-316</v>
      </c>
      <c r="M46" s="377">
        <v>-316</v>
      </c>
      <c r="N46" s="377">
        <v>-316</v>
      </c>
      <c r="O46" s="377">
        <v>-316</v>
      </c>
    </row>
    <row r="47" spans="1:15" ht="15" customHeight="1">
      <c r="A47" s="55" t="s">
        <v>114</v>
      </c>
      <c r="B47" s="379">
        <f t="shared" ref="B47:O47" si="8">SUM(B45:B46)</f>
        <v>-749</v>
      </c>
      <c r="C47" s="379">
        <f t="shared" si="8"/>
        <v>-1297.6810549098634</v>
      </c>
      <c r="D47" s="379">
        <f t="shared" si="8"/>
        <v>-1857.1389001488828</v>
      </c>
      <c r="E47" s="379">
        <f t="shared" si="8"/>
        <v>-2078.6485086458206</v>
      </c>
      <c r="F47" s="379">
        <f t="shared" si="8"/>
        <v>-2384.1177345931801</v>
      </c>
      <c r="G47" s="379">
        <f t="shared" si="8"/>
        <v>-2808.3027071440551</v>
      </c>
      <c r="H47" s="379">
        <f t="shared" si="8"/>
        <v>-3168.2753353846665</v>
      </c>
      <c r="I47" s="379">
        <f t="shared" si="8"/>
        <v>-3885.2839853940563</v>
      </c>
      <c r="J47" s="379">
        <f t="shared" si="8"/>
        <v>-4788.9022522578598</v>
      </c>
      <c r="K47" s="379">
        <f t="shared" si="8"/>
        <v>-5788.0282611886259</v>
      </c>
      <c r="L47" s="379">
        <f t="shared" si="8"/>
        <v>-6980.6328720879228</v>
      </c>
      <c r="M47" s="379">
        <f t="shared" si="8"/>
        <v>-8389.5014106084927</v>
      </c>
      <c r="N47" s="379">
        <f t="shared" si="8"/>
        <v>-10067.08625311807</v>
      </c>
      <c r="O47" s="379">
        <f t="shared" si="8"/>
        <v>-12057.83945210546</v>
      </c>
    </row>
    <row r="48" spans="1:15" ht="15" customHeight="1">
      <c r="A48" s="55" t="s">
        <v>68</v>
      </c>
      <c r="B48" s="377">
        <v>542</v>
      </c>
      <c r="C48" s="377">
        <v>542</v>
      </c>
      <c r="D48" s="377">
        <v>542</v>
      </c>
      <c r="E48" s="377">
        <v>542</v>
      </c>
      <c r="F48" s="377">
        <v>542</v>
      </c>
      <c r="G48" s="377">
        <v>542</v>
      </c>
      <c r="H48" s="377">
        <v>542</v>
      </c>
      <c r="I48" s="377">
        <v>542</v>
      </c>
      <c r="J48" s="377">
        <v>542</v>
      </c>
      <c r="K48" s="377">
        <v>542</v>
      </c>
      <c r="L48" s="377">
        <v>542</v>
      </c>
      <c r="M48" s="377">
        <v>542</v>
      </c>
      <c r="N48" s="377">
        <v>542</v>
      </c>
      <c r="O48" s="377">
        <v>542</v>
      </c>
    </row>
    <row r="49" spans="1:15" ht="15" customHeight="1">
      <c r="A49" s="55" t="s">
        <v>69</v>
      </c>
      <c r="B49" s="377">
        <v>-223</v>
      </c>
      <c r="C49" s="377">
        <v>-223</v>
      </c>
      <c r="D49" s="377">
        <v>-223</v>
      </c>
      <c r="E49" s="377">
        <v>-223</v>
      </c>
      <c r="F49" s="377">
        <v>-223</v>
      </c>
      <c r="G49" s="377">
        <v>-223</v>
      </c>
      <c r="H49" s="377">
        <v>-223</v>
      </c>
      <c r="I49" s="377">
        <v>-223</v>
      </c>
      <c r="J49" s="377">
        <v>-223</v>
      </c>
      <c r="K49" s="377">
        <v>-223</v>
      </c>
      <c r="L49" s="377">
        <v>-223</v>
      </c>
      <c r="M49" s="377">
        <v>-223</v>
      </c>
      <c r="N49" s="377">
        <v>-223</v>
      </c>
      <c r="O49" s="377">
        <v>-223</v>
      </c>
    </row>
    <row r="50" spans="1:15" ht="15" customHeight="1">
      <c r="A50" s="53"/>
      <c r="B50" s="377"/>
      <c r="C50" s="377"/>
      <c r="D50" s="380"/>
      <c r="E50" s="380"/>
      <c r="F50" s="380"/>
      <c r="G50" s="380"/>
      <c r="H50" s="380"/>
      <c r="I50" s="380"/>
      <c r="J50" s="380"/>
      <c r="K50" s="380"/>
      <c r="L50" s="380"/>
      <c r="M50" s="380"/>
      <c r="N50" s="380"/>
      <c r="O50" s="380"/>
    </row>
    <row r="51" spans="1:15" ht="15" customHeight="1">
      <c r="A51" s="53" t="s">
        <v>70</v>
      </c>
      <c r="B51" s="377">
        <f t="shared" ref="B51:O51" si="9">B43+B47+B48+B49</f>
        <v>2573</v>
      </c>
      <c r="C51" s="377">
        <f t="shared" si="9"/>
        <v>2948.04316472959</v>
      </c>
      <c r="D51" s="377">
        <f t="shared" si="9"/>
        <v>2994.6225708772431</v>
      </c>
      <c r="E51" s="377">
        <f t="shared" si="9"/>
        <v>3424.6118109007093</v>
      </c>
      <c r="F51" s="377">
        <f t="shared" si="9"/>
        <v>4017.5814847985257</v>
      </c>
      <c r="G51" s="377">
        <f t="shared" si="9"/>
        <v>4840.9993726913999</v>
      </c>
      <c r="H51" s="377">
        <f t="shared" si="9"/>
        <v>5539.769768687881</v>
      </c>
      <c r="I51" s="377">
        <f t="shared" si="9"/>
        <v>6931.6100892943432</v>
      </c>
      <c r="J51" s="377">
        <f t="shared" si="9"/>
        <v>8685.6926073240793</v>
      </c>
      <c r="K51" s="377">
        <f t="shared" si="9"/>
        <v>10625.172507013212</v>
      </c>
      <c r="L51" s="377">
        <f t="shared" si="9"/>
        <v>12940.228516405967</v>
      </c>
      <c r="M51" s="377">
        <f t="shared" si="9"/>
        <v>15675.09097353413</v>
      </c>
      <c r="N51" s="377">
        <f t="shared" si="9"/>
        <v>18931.579197229192</v>
      </c>
      <c r="O51" s="377">
        <f t="shared" si="9"/>
        <v>22795.982465851775</v>
      </c>
    </row>
    <row r="52" spans="1:15" ht="15" customHeight="1" thickBot="1">
      <c r="A52" s="54" t="s">
        <v>71</v>
      </c>
      <c r="B52" s="385"/>
      <c r="C52" s="377"/>
      <c r="D52" s="380"/>
      <c r="E52" s="380"/>
      <c r="F52" s="380"/>
      <c r="G52" s="380"/>
      <c r="H52" s="380"/>
      <c r="I52" s="380"/>
      <c r="J52" s="380"/>
      <c r="K52" s="380"/>
      <c r="L52" s="380"/>
      <c r="M52" s="380"/>
      <c r="N52" s="380"/>
      <c r="O52" s="380"/>
    </row>
    <row r="53" spans="1:15" ht="15" customHeight="1" thickBot="1">
      <c r="A53" s="58" t="s">
        <v>15</v>
      </c>
      <c r="B53" s="386">
        <f t="shared" ref="B53:O53" si="10">B51+B52</f>
        <v>2573</v>
      </c>
      <c r="C53" s="386">
        <f t="shared" si="10"/>
        <v>2948.04316472959</v>
      </c>
      <c r="D53" s="386">
        <f t="shared" si="10"/>
        <v>2994.6225708772431</v>
      </c>
      <c r="E53" s="386">
        <f t="shared" si="10"/>
        <v>3424.6118109007093</v>
      </c>
      <c r="F53" s="386">
        <f t="shared" si="10"/>
        <v>4017.5814847985257</v>
      </c>
      <c r="G53" s="386">
        <f t="shared" si="10"/>
        <v>4840.9993726913999</v>
      </c>
      <c r="H53" s="386">
        <f t="shared" si="10"/>
        <v>5539.769768687881</v>
      </c>
      <c r="I53" s="386">
        <f t="shared" si="10"/>
        <v>6931.6100892943432</v>
      </c>
      <c r="J53" s="386">
        <f t="shared" si="10"/>
        <v>8685.6926073240793</v>
      </c>
      <c r="K53" s="386">
        <f t="shared" si="10"/>
        <v>10625.172507013212</v>
      </c>
      <c r="L53" s="386">
        <f t="shared" si="10"/>
        <v>12940.228516405967</v>
      </c>
      <c r="M53" s="386">
        <f t="shared" si="10"/>
        <v>15675.09097353413</v>
      </c>
      <c r="N53" s="386">
        <f t="shared" si="10"/>
        <v>18931.579197229192</v>
      </c>
      <c r="O53" s="386">
        <f t="shared" si="10"/>
        <v>22795.982465851775</v>
      </c>
    </row>
    <row r="55" spans="1:15">
      <c r="A55" s="32" t="s">
        <v>262</v>
      </c>
      <c r="B55" s="206">
        <f>B53/'2-Premissas'!$C$80*1000000</f>
        <v>2.2073006752071858</v>
      </c>
      <c r="C55" s="206">
        <f>C53/'2-Premissas'!$C$80*1000000</f>
        <v>2.5290391247755744</v>
      </c>
      <c r="D55" s="206">
        <f>D53/'2-Premissas'!$C$80*1000000</f>
        <v>2.5689982210213826</v>
      </c>
      <c r="E55" s="206">
        <f>E53/'2-Premissas'!$C$80*1000000</f>
        <v>2.937873285084974</v>
      </c>
      <c r="F55" s="206">
        <f>F53/'2-Premissas'!$C$80*1000000</f>
        <v>3.4465644477635733</v>
      </c>
      <c r="G55" s="206">
        <f>G53/'2-Premissas'!$C$80*1000000</f>
        <v>4.1529503241427479</v>
      </c>
      <c r="H55" s="206">
        <f>H53/'2-Premissas'!$C$80*1000000</f>
        <v>4.7524048002009769</v>
      </c>
      <c r="I55" s="206">
        <f>I53/'2-Premissas'!$C$80*1000000</f>
        <v>5.9464234863475882</v>
      </c>
      <c r="J55" s="206">
        <f>J53/'2-Premissas'!$C$80*1000000</f>
        <v>7.4511990504424803</v>
      </c>
      <c r="K55" s="206">
        <f>K53/'2-Premissas'!$C$80*1000000</f>
        <v>9.1150215503004617</v>
      </c>
      <c r="L55" s="206">
        <f>L53/'2-Premissas'!$C$80*1000000</f>
        <v>11.101039697473054</v>
      </c>
      <c r="M55" s="206">
        <f>M53/'2-Premissas'!$C$80*1000000</f>
        <v>13.44719739207771</v>
      </c>
      <c r="N55" s="206">
        <f>N53/'2-Premissas'!$C$80*1000000</f>
        <v>16.24084241927023</v>
      </c>
      <c r="O55" s="206">
        <f>O53/'2-Premissas'!$C$80*1000000</f>
        <v>19.555999801354755</v>
      </c>
    </row>
    <row r="56" spans="1:15">
      <c r="B56" s="206"/>
      <c r="C56" s="209"/>
      <c r="D56" s="209"/>
      <c r="E56" s="209"/>
      <c r="F56" s="209"/>
      <c r="G56" s="209"/>
      <c r="H56" s="209"/>
      <c r="I56" s="209"/>
      <c r="J56" s="209"/>
      <c r="K56" s="209"/>
      <c r="L56" s="209"/>
      <c r="M56" s="209"/>
      <c r="N56" s="209"/>
      <c r="O56" s="209"/>
    </row>
    <row r="57" spans="1:15">
      <c r="A57" s="32" t="s">
        <v>211</v>
      </c>
      <c r="C57" s="96">
        <f>B53*'2-Premissas'!C73</f>
        <v>1286.5</v>
      </c>
      <c r="D57" s="96">
        <f>C53*'2-Premissas'!D73</f>
        <v>1474.021582364795</v>
      </c>
      <c r="E57" s="96">
        <f>D53*'2-Premissas'!E73</f>
        <v>1497.3112854386216</v>
      </c>
      <c r="F57" s="96">
        <f>E53*'2-Premissas'!F73</f>
        <v>1712.3059054503547</v>
      </c>
      <c r="G57" s="96">
        <f>F53*'2-Premissas'!G73</f>
        <v>3013.1861135988943</v>
      </c>
      <c r="H57" s="96">
        <f>G53*'2-Premissas'!H73</f>
        <v>3630.7495295185499</v>
      </c>
      <c r="I57" s="96">
        <f>H53*'2-Premissas'!I73</f>
        <v>4154.8273265159105</v>
      </c>
      <c r="J57" s="96">
        <f>I53*'2-Premissas'!J73</f>
        <v>5198.7075669707574</v>
      </c>
      <c r="K57" s="96">
        <f>J53*'2-Premissas'!K73</f>
        <v>6514.2694554930595</v>
      </c>
      <c r="L57" s="96">
        <f>K53*'2-Premissas'!L73</f>
        <v>7968.8793802599093</v>
      </c>
      <c r="M57" s="96">
        <f>L53*'2-Premissas'!M73</f>
        <v>9705.1713873044755</v>
      </c>
      <c r="N57" s="96">
        <f>M53*'2-Premissas'!N73</f>
        <v>11756.318230150599</v>
      </c>
      <c r="O57" s="96">
        <f>N53*'2-Premissas'!O73</f>
        <v>14198.684397921894</v>
      </c>
    </row>
    <row r="58" spans="1:15">
      <c r="C58" s="96"/>
      <c r="D58" s="96"/>
      <c r="E58" s="96"/>
      <c r="F58" s="96"/>
      <c r="G58" s="96"/>
      <c r="H58" s="96"/>
      <c r="I58" s="96"/>
      <c r="J58" s="96"/>
      <c r="K58" s="96"/>
      <c r="L58" s="96"/>
      <c r="M58" s="96"/>
      <c r="N58" s="96"/>
      <c r="O58" s="96"/>
    </row>
    <row r="59" spans="1:15">
      <c r="A59" s="32" t="s">
        <v>154</v>
      </c>
      <c r="C59" s="96">
        <f t="shared" ref="C59:O59" si="11">C53-C57</f>
        <v>1661.54316472959</v>
      </c>
      <c r="D59" s="96">
        <f t="shared" si="11"/>
        <v>1520.6009885124481</v>
      </c>
      <c r="E59" s="96">
        <f t="shared" si="11"/>
        <v>1927.3005254620878</v>
      </c>
      <c r="F59" s="96">
        <f t="shared" si="11"/>
        <v>2305.275579348171</v>
      </c>
      <c r="G59" s="96">
        <f t="shared" si="11"/>
        <v>1827.8132590925056</v>
      </c>
      <c r="H59" s="96">
        <f t="shared" si="11"/>
        <v>1909.020239169331</v>
      </c>
      <c r="I59" s="96">
        <f t="shared" si="11"/>
        <v>2776.7827627784327</v>
      </c>
      <c r="J59" s="96">
        <f t="shared" si="11"/>
        <v>3486.9850403533219</v>
      </c>
      <c r="K59" s="96">
        <f t="shared" si="11"/>
        <v>4110.903051520153</v>
      </c>
      <c r="L59" s="96">
        <f t="shared" si="11"/>
        <v>4971.3491361460574</v>
      </c>
      <c r="M59" s="96">
        <f t="shared" si="11"/>
        <v>5969.9195862296547</v>
      </c>
      <c r="N59" s="96">
        <f t="shared" si="11"/>
        <v>7175.2609670785932</v>
      </c>
      <c r="O59" s="96">
        <f t="shared" si="11"/>
        <v>8597.2980679298817</v>
      </c>
    </row>
    <row r="61" spans="1:15">
      <c r="C61" s="33">
        <f>C22/B22-1</f>
        <v>0.15274600643840008</v>
      </c>
      <c r="D61" s="33">
        <f t="shared" ref="D61:O61" si="12">D22/C22-1</f>
        <v>0.15274600643840008</v>
      </c>
      <c r="E61" s="33">
        <f t="shared" si="12"/>
        <v>0.15274600643840008</v>
      </c>
      <c r="F61" s="33">
        <f t="shared" si="12"/>
        <v>0.15274600643840008</v>
      </c>
      <c r="G61" s="33">
        <f t="shared" si="12"/>
        <v>0.15274600643840008</v>
      </c>
      <c r="H61" s="33">
        <f t="shared" si="12"/>
        <v>0.15274600643840008</v>
      </c>
      <c r="I61" s="33">
        <f t="shared" si="12"/>
        <v>0.15274600643840008</v>
      </c>
      <c r="J61" s="33">
        <f t="shared" si="12"/>
        <v>0.15274600643840008</v>
      </c>
      <c r="K61" s="33">
        <f t="shared" si="12"/>
        <v>0.15274600643840008</v>
      </c>
      <c r="L61" s="33">
        <f t="shared" si="12"/>
        <v>0.15274600643840008</v>
      </c>
      <c r="M61" s="33">
        <f t="shared" si="12"/>
        <v>0.15274600643840008</v>
      </c>
      <c r="N61" s="33">
        <f t="shared" si="12"/>
        <v>0.15274600643840008</v>
      </c>
      <c r="O61" s="33">
        <f t="shared" si="12"/>
        <v>0.15274600643840008</v>
      </c>
    </row>
    <row r="62" spans="1:15">
      <c r="C62" s="33">
        <f>AS!D12</f>
        <v>0.15274600643840008</v>
      </c>
    </row>
    <row r="64" spans="1:15">
      <c r="B64" s="96">
        <f>B22+B22*$C$62</f>
        <v>9298.0492879321355</v>
      </c>
      <c r="C64" s="96">
        <f t="shared" ref="C64:O64" si="13">C22+C22*$C$62</f>
        <v>10718.289184331179</v>
      </c>
      <c r="D64" s="96">
        <f t="shared" si="13"/>
        <v>12355.465053089663</v>
      </c>
      <c r="E64" s="96">
        <f t="shared" si="13"/>
        <v>14242.712997638324</v>
      </c>
      <c r="F64" s="96">
        <f t="shared" si="13"/>
        <v>16418.230528875873</v>
      </c>
      <c r="G64" s="96">
        <f t="shared" si="13"/>
        <v>18926.049674946684</v>
      </c>
      <c r="H64" s="96">
        <f t="shared" si="13"/>
        <v>21816.928180449569</v>
      </c>
      <c r="I64" s="96">
        <f t="shared" si="13"/>
        <v>25149.376832766633</v>
      </c>
      <c r="J64" s="96">
        <f t="shared" si="13"/>
        <v>28990.843708386154</v>
      </c>
      <c r="K64" s="96">
        <f t="shared" si="13"/>
        <v>33419.079308121953</v>
      </c>
      <c r="L64" s="96">
        <f t="shared" si="13"/>
        <v>38523.710211285754</v>
      </c>
      <c r="M64" s="96">
        <f t="shared" si="13"/>
        <v>44408.053099249868</v>
      </c>
      <c r="N64" s="96">
        <f t="shared" si="13"/>
        <v>51191.205863864699</v>
      </c>
      <c r="O64" s="96">
        <f t="shared" si="13"/>
        <v>59010.458124336044</v>
      </c>
    </row>
    <row r="66" spans="2:3">
      <c r="C66" s="263">
        <f>SUM(B64:O64)</f>
        <v>384468.45205527451</v>
      </c>
    </row>
    <row r="68" spans="2:3">
      <c r="B68" s="263">
        <f>SUM(B22:O22)</f>
        <v>333523.99393093848</v>
      </c>
    </row>
  </sheetData>
  <phoneticPr fontId="0" type="noConversion"/>
  <hyperlinks>
    <hyperlink ref="A1" location="Índice!A1" display="Voltar" xr:uid="{00000000-0004-0000-0600-000000000000}"/>
  </hyperlinks>
  <printOptions horizontalCentered="1"/>
  <pageMargins left="0.17" right="0.19" top="0.22" bottom="0.3" header="0.17" footer="0.19"/>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indexed="52"/>
    <pageSetUpPr fitToPage="1"/>
  </sheetPr>
  <dimension ref="A1:O63"/>
  <sheetViews>
    <sheetView showGridLines="0" workbookViewId="0">
      <pane xSplit="2" ySplit="5" topLeftCell="C6" activePane="bottomRight" state="frozen"/>
      <selection activeCell="D10" sqref="D10"/>
      <selection pane="topRight" activeCell="D10" sqref="D10"/>
      <selection pane="bottomLeft" activeCell="D10" sqref="D10"/>
      <selection pane="bottomRight" activeCell="B1" sqref="B1"/>
    </sheetView>
  </sheetViews>
  <sheetFormatPr defaultRowHeight="13.2"/>
  <cols>
    <col min="1" max="1" width="3.5546875" customWidth="1"/>
    <col min="2" max="2" width="33.109375" style="10" customWidth="1"/>
    <col min="3" max="3" width="8.109375" style="101" bestFit="1" customWidth="1"/>
    <col min="4" max="5" width="7.88671875" style="101" bestFit="1" customWidth="1"/>
    <col min="6" max="15" width="9.109375" style="101" bestFit="1"/>
  </cols>
  <sheetData>
    <row r="1" spans="2:15">
      <c r="B1" s="393" t="s">
        <v>353</v>
      </c>
    </row>
    <row r="2" spans="2:15">
      <c r="B2" s="14" t="s">
        <v>98</v>
      </c>
    </row>
    <row r="3" spans="2:15">
      <c r="B3" s="14" t="s">
        <v>99</v>
      </c>
      <c r="N3" s="20" t="s">
        <v>352</v>
      </c>
    </row>
    <row r="4" spans="2:15">
      <c r="B4" s="8" t="s">
        <v>76</v>
      </c>
    </row>
    <row r="5" spans="2:15" ht="13.8" thickBot="1">
      <c r="B5" s="390"/>
      <c r="C5" s="391">
        <f>+'3-Balanço'!E5</f>
        <v>42369</v>
      </c>
      <c r="D5" s="391">
        <f>+'3-Balanço'!F5</f>
        <v>42735</v>
      </c>
      <c r="E5" s="391">
        <f>+'3-Balanço'!G5</f>
        <v>43100</v>
      </c>
      <c r="F5" s="391">
        <f>+'3-Balanço'!H5</f>
        <v>43465</v>
      </c>
      <c r="G5" s="391">
        <f>+'3-Balanço'!I5</f>
        <v>43830</v>
      </c>
      <c r="H5" s="391">
        <f>+'3-Balanço'!J5</f>
        <v>44196</v>
      </c>
      <c r="I5" s="391">
        <f>+'3-Balanço'!K5</f>
        <v>44561</v>
      </c>
      <c r="J5" s="391">
        <f>+'3-Balanço'!L5</f>
        <v>44926</v>
      </c>
      <c r="K5" s="391">
        <f>+'3-Balanço'!M5</f>
        <v>45291</v>
      </c>
      <c r="L5" s="391">
        <f>+'3-Balanço'!N5</f>
        <v>45657</v>
      </c>
      <c r="M5" s="391">
        <f>+'3-Balanço'!O5</f>
        <v>46022</v>
      </c>
      <c r="N5" s="391">
        <f>+'3-Balanço'!P5</f>
        <v>46387</v>
      </c>
      <c r="O5" s="391">
        <f>+'3-Balanço'!Q5</f>
        <v>46752</v>
      </c>
    </row>
    <row r="6" spans="2:15">
      <c r="B6" s="11"/>
      <c r="C6" s="8"/>
      <c r="D6" s="8"/>
      <c r="E6" s="8"/>
      <c r="F6" s="8"/>
      <c r="G6" s="8"/>
      <c r="H6" s="8"/>
      <c r="I6" s="8"/>
      <c r="J6" s="8"/>
      <c r="K6" s="8"/>
      <c r="L6" s="8"/>
      <c r="M6" s="8"/>
      <c r="N6" s="8"/>
      <c r="O6" s="8"/>
    </row>
    <row r="7" spans="2:15" ht="19.2">
      <c r="B7" s="12" t="s">
        <v>77</v>
      </c>
      <c r="C7" s="9"/>
      <c r="D7" s="9"/>
      <c r="E7" s="9"/>
      <c r="F7" s="9"/>
      <c r="G7" s="9"/>
      <c r="H7" s="9"/>
      <c r="I7" s="9"/>
      <c r="J7" s="9"/>
      <c r="K7" s="9"/>
      <c r="L7" s="9"/>
      <c r="M7" s="9"/>
      <c r="N7" s="9"/>
      <c r="O7" s="9"/>
    </row>
    <row r="8" spans="2:15">
      <c r="B8" s="13" t="s">
        <v>85</v>
      </c>
      <c r="C8" s="366">
        <f>'4-DRE'!C53</f>
        <v>2948.04316472959</v>
      </c>
      <c r="D8" s="366">
        <f>'4-DRE'!D53</f>
        <v>2994.6225708772431</v>
      </c>
      <c r="E8" s="366">
        <f>'4-DRE'!E53</f>
        <v>3424.6118109007093</v>
      </c>
      <c r="F8" s="366">
        <f>'4-DRE'!F53</f>
        <v>4017.5814847985257</v>
      </c>
      <c r="G8" s="366">
        <f>'4-DRE'!G53</f>
        <v>4840.9993726913999</v>
      </c>
      <c r="H8" s="366">
        <f>'4-DRE'!H53</f>
        <v>5539.769768687881</v>
      </c>
      <c r="I8" s="366">
        <f>'4-DRE'!I53</f>
        <v>6931.6100892943432</v>
      </c>
      <c r="J8" s="366">
        <f>'4-DRE'!J53</f>
        <v>8685.6926073240793</v>
      </c>
      <c r="K8" s="366">
        <f>'4-DRE'!K53</f>
        <v>10625.172507013212</v>
      </c>
      <c r="L8" s="366">
        <f>'4-DRE'!L53</f>
        <v>12940.228516405967</v>
      </c>
      <c r="M8" s="366">
        <f>'4-DRE'!M53</f>
        <v>15675.09097353413</v>
      </c>
      <c r="N8" s="366">
        <f>'4-DRE'!N53</f>
        <v>18931.579197229192</v>
      </c>
      <c r="O8" s="366">
        <f>'4-DRE'!O53</f>
        <v>22795.982465851775</v>
      </c>
    </row>
    <row r="9" spans="2:15" ht="28.8">
      <c r="B9" s="68" t="s">
        <v>78</v>
      </c>
      <c r="C9" s="367"/>
      <c r="D9" s="367"/>
      <c r="E9" s="367"/>
      <c r="F9" s="367"/>
      <c r="G9" s="367"/>
      <c r="H9" s="367"/>
      <c r="I9" s="367"/>
      <c r="J9" s="367"/>
      <c r="K9" s="367"/>
      <c r="L9" s="367"/>
      <c r="M9" s="367"/>
      <c r="N9" s="367"/>
      <c r="O9" s="367"/>
    </row>
    <row r="10" spans="2:15">
      <c r="B10" s="67" t="s">
        <v>86</v>
      </c>
      <c r="C10" s="368">
        <f>-'4-DRE'!C36</f>
        <v>640.6</v>
      </c>
      <c r="D10" s="368">
        <f>-'4-DRE'!D36</f>
        <v>740.6</v>
      </c>
      <c r="E10" s="368">
        <f>-'4-DRE'!E36</f>
        <v>840.6</v>
      </c>
      <c r="F10" s="368">
        <f>-'4-DRE'!F36</f>
        <v>915.6</v>
      </c>
      <c r="G10" s="368">
        <f>-'4-DRE'!G36</f>
        <v>990.6</v>
      </c>
      <c r="H10" s="368">
        <f>-'4-DRE'!H36</f>
        <v>1182.1000000000001</v>
      </c>
      <c r="I10" s="368">
        <f>-'4-DRE'!I36</f>
        <v>1373.6000000000001</v>
      </c>
      <c r="J10" s="368">
        <f>-'4-DRE'!J36</f>
        <v>1565.1000000000001</v>
      </c>
      <c r="K10" s="368">
        <f>-'4-DRE'!K36</f>
        <v>1756.6000000000001</v>
      </c>
      <c r="L10" s="368">
        <f>-'4-DRE'!L36</f>
        <v>1948.1000000000001</v>
      </c>
      <c r="M10" s="368">
        <f>-'4-DRE'!M36</f>
        <v>2139.6</v>
      </c>
      <c r="N10" s="368">
        <f>-'4-DRE'!N36</f>
        <v>2331.1</v>
      </c>
      <c r="O10" s="368">
        <f>-'4-DRE'!O36</f>
        <v>2522.6000000000004</v>
      </c>
    </row>
    <row r="11" spans="2:15">
      <c r="B11" s="13" t="s">
        <v>79</v>
      </c>
      <c r="C11" s="368"/>
      <c r="D11" s="368"/>
      <c r="E11" s="368"/>
      <c r="F11" s="368"/>
      <c r="G11" s="368"/>
      <c r="H11" s="368"/>
      <c r="I11" s="368"/>
      <c r="J11" s="368"/>
      <c r="K11" s="368"/>
      <c r="L11" s="368"/>
      <c r="M11" s="368"/>
      <c r="N11" s="368"/>
      <c r="O11" s="368"/>
    </row>
    <row r="12" spans="2:15">
      <c r="B12" s="69" t="s">
        <v>87</v>
      </c>
      <c r="C12" s="368">
        <f>'3-Balanço'!D9-'3-Balanço'!E9</f>
        <v>-1233.3438648622782</v>
      </c>
      <c r="D12" s="368">
        <f>'3-Balanço'!E9-'3-Balanço'!F9</f>
        <v>-395.69488081519285</v>
      </c>
      <c r="E12" s="368">
        <f>'3-Balanço'!F9-'3-Balanço'!G9</f>
        <v>-380.199832213641</v>
      </c>
      <c r="F12" s="368">
        <f>'3-Balanço'!G9-'3-Balanço'!H9</f>
        <v>-403.37210918417486</v>
      </c>
      <c r="G12" s="368">
        <f>'3-Balanço'!H9-'3-Balanço'!I9</f>
        <v>-466.79555598080424</v>
      </c>
      <c r="H12" s="368">
        <f>'3-Balanço'!I9-'3-Balanço'!J9</f>
        <v>-535.01945582325743</v>
      </c>
      <c r="I12" s="368">
        <f>'3-Balanço'!J9-'3-Balanço'!K9</f>
        <v>-73.428326882794863</v>
      </c>
      <c r="J12" s="368">
        <f>'3-Balanço'!K9-'3-Balanço'!L9</f>
        <v>-79.92013517403575</v>
      </c>
      <c r="K12" s="368">
        <f>'3-Balanço'!L9-'3-Balanço'!M9</f>
        <v>-191.61978481900769</v>
      </c>
      <c r="L12" s="368">
        <f>'3-Balanço'!M9-'3-Balanço'!N9</f>
        <v>-387.18823105724732</v>
      </c>
      <c r="M12" s="368">
        <f>'3-Balanço'!N9-'3-Balanço'!O9</f>
        <v>-419.54887362138379</v>
      </c>
      <c r="N12" s="368">
        <f>'3-Balanço'!O9-'3-Balanço'!P9</f>
        <v>-454.65653373769783</v>
      </c>
      <c r="O12" s="368">
        <f>'3-Balanço'!P9-'3-Balanço'!Q9</f>
        <v>-492.74742547221285</v>
      </c>
    </row>
    <row r="13" spans="2:15">
      <c r="B13" s="69" t="s">
        <v>3</v>
      </c>
      <c r="C13" s="368">
        <f>'3-Balanço'!D11-'3-Balanço'!E11</f>
        <v>69.881200210682437</v>
      </c>
      <c r="D13" s="368">
        <f>'3-Balanço'!E11-'3-Balanço'!F11</f>
        <v>-99.212757798959046</v>
      </c>
      <c r="E13" s="368">
        <f>'3-Balanço'!F11-'3-Balanço'!G11</f>
        <v>-134.14407456250649</v>
      </c>
      <c r="F13" s="368">
        <f>'3-Balanço'!G11-'3-Balanço'!H11</f>
        <v>-143.96015706323885</v>
      </c>
      <c r="G13" s="368">
        <f>'3-Balanço'!H11-'3-Balanço'!I11</f>
        <v>-166.22543688735254</v>
      </c>
      <c r="H13" s="368">
        <f>'3-Balanço'!I11-'3-Balanço'!J11</f>
        <v>-192.07112432656936</v>
      </c>
      <c r="I13" s="368">
        <f>'3-Balanço'!J11-'3-Balanço'!K11</f>
        <v>-94.019956013305091</v>
      </c>
      <c r="J13" s="368">
        <f>'3-Balanço'!K11-'3-Balanço'!L11</f>
        <v>-99.937274418987954</v>
      </c>
      <c r="K13" s="368">
        <f>'3-Balanço'!L11-'3-Balanço'!M11</f>
        <v>-149.39122740254629</v>
      </c>
      <c r="L13" s="368">
        <f>'3-Balanço'!M11-'3-Balanço'!N11</f>
        <v>-162.64172189698593</v>
      </c>
      <c r="M13" s="368">
        <f>'3-Balanço'!N11-'3-Balanço'!O11</f>
        <v>-177.07842375694281</v>
      </c>
      <c r="N13" s="368">
        <f>'3-Balanço'!O11-'3-Balanço'!P11</f>
        <v>-192.80824552144486</v>
      </c>
      <c r="O13" s="368">
        <f>'3-Balanço'!P11-'3-Balanço'!Q11</f>
        <v>-209.9477841594653</v>
      </c>
    </row>
    <row r="14" spans="2:15">
      <c r="B14" s="13" t="s">
        <v>80</v>
      </c>
      <c r="C14" s="368"/>
      <c r="D14" s="368"/>
      <c r="E14" s="368"/>
      <c r="F14" s="368"/>
      <c r="G14" s="368"/>
      <c r="H14" s="368"/>
      <c r="I14" s="368"/>
      <c r="J14" s="368"/>
      <c r="K14" s="368"/>
      <c r="L14" s="368"/>
      <c r="M14" s="368"/>
      <c r="N14" s="368"/>
      <c r="O14" s="368"/>
    </row>
    <row r="15" spans="2:15">
      <c r="B15" s="69" t="s">
        <v>16</v>
      </c>
      <c r="C15" s="368">
        <f>'3-Balanço'!E43-'3-Balanço'!D43</f>
        <v>24.606124538714994</v>
      </c>
      <c r="D15" s="368">
        <f>'3-Balanço'!F43-'3-Balanço'!E43</f>
        <v>118.3705398130918</v>
      </c>
      <c r="E15" s="368">
        <f>'3-Balanço'!G43-'3-Balanço'!F43</f>
        <v>130.12035620460142</v>
      </c>
      <c r="F15" s="368">
        <f>'3-Balanço'!H43-'3-Balanço'!G43</f>
        <v>135.3667309369165</v>
      </c>
      <c r="G15" s="368">
        <f>'3-Balanço'!I43-'3-Balanço'!H43</f>
        <v>157.99178696121112</v>
      </c>
      <c r="H15" s="368">
        <f>'3-Balanço'!J43-'3-Balanço'!I43</f>
        <v>182.57556352311553</v>
      </c>
      <c r="I15" s="368">
        <f>'3-Balanço'!K43-'3-Balanço'!J43</f>
        <v>72.268062722345803</v>
      </c>
      <c r="J15" s="368">
        <f>'3-Balanço'!L43-'3-Balanço'!K43</f>
        <v>93.83311974315302</v>
      </c>
      <c r="K15" s="368">
        <f>'3-Balanço'!M43-'3-Balanço'!L43</f>
        <v>146.54050359054827</v>
      </c>
      <c r="L15" s="368">
        <f>'3-Balanço'!N43-'3-Balanço'!M43</f>
        <v>153.26694998101038</v>
      </c>
      <c r="M15" s="368">
        <f>'3-Balanço'!O43-'3-Balanço'!N43</f>
        <v>166.87306281819792</v>
      </c>
      <c r="N15" s="368">
        <f>'3-Balanço'!P43-'3-Balanço'!O43</f>
        <v>181.6980005598698</v>
      </c>
      <c r="O15" s="368">
        <f>'3-Balanço'!Q43-'3-Balanço'!P43</f>
        <v>197.85166806896177</v>
      </c>
    </row>
    <row r="16" spans="2:15" ht="13.8" thickBot="1">
      <c r="B16" s="392" t="s">
        <v>88</v>
      </c>
      <c r="C16" s="369">
        <f>'3-Balanço'!E44-'3-Balanço'!D44</f>
        <v>14.100000000000023</v>
      </c>
      <c r="D16" s="369">
        <f>'3-Balanço'!F44-'3-Balanço'!E44</f>
        <v>15.510000000000019</v>
      </c>
      <c r="E16" s="369">
        <f>'3-Balanço'!G44-'3-Balanço'!F44</f>
        <v>17.061000000000007</v>
      </c>
      <c r="F16" s="369">
        <f>'3-Balanço'!H44-'3-Balanço'!G44</f>
        <v>18.767100000000028</v>
      </c>
      <c r="G16" s="369">
        <f>'3-Balanço'!I44-'3-Balanço'!H44</f>
        <v>20.64381000000003</v>
      </c>
      <c r="H16" s="369">
        <f>'3-Balanço'!J44-'3-Balanço'!I44</f>
        <v>22.708191000000028</v>
      </c>
      <c r="I16" s="369">
        <f>'3-Balanço'!K44-'3-Balanço'!J44</f>
        <v>24.979010100000011</v>
      </c>
      <c r="J16" s="369">
        <f>'3-Balanço'!L44-'3-Balanço'!K44</f>
        <v>27.47691111000006</v>
      </c>
      <c r="K16" s="369">
        <f>'3-Balanço'!M44-'3-Balanço'!L44</f>
        <v>30.224602221000055</v>
      </c>
      <c r="L16" s="369">
        <f>'3-Balanço'!N44-'3-Balanço'!M44</f>
        <v>33.247062443100049</v>
      </c>
      <c r="M16" s="369">
        <f>'3-Balanço'!O44-'3-Balanço'!N44</f>
        <v>36.571768687410042</v>
      </c>
      <c r="N16" s="369">
        <f>'3-Balanço'!P44-'3-Balanço'!O44</f>
        <v>40.228945556151075</v>
      </c>
      <c r="O16" s="369">
        <f>'3-Balanço'!Q44-'3-Balanço'!P44</f>
        <v>44.251840111766171</v>
      </c>
    </row>
    <row r="17" spans="2:15" ht="13.8" thickBot="1">
      <c r="C17" s="370"/>
      <c r="D17" s="371"/>
      <c r="E17" s="371"/>
      <c r="F17" s="371"/>
      <c r="G17" s="370"/>
      <c r="H17" s="370"/>
      <c r="I17" s="370"/>
      <c r="J17" s="370"/>
      <c r="K17" s="370"/>
      <c r="L17" s="370"/>
      <c r="M17" s="370"/>
      <c r="N17" s="370"/>
      <c r="O17" s="370"/>
    </row>
    <row r="18" spans="2:15" ht="16.8" thickBot="1">
      <c r="B18" s="365" t="s">
        <v>167</v>
      </c>
      <c r="C18" s="372">
        <f>SUM(C12:C16)</f>
        <v>-1124.7565401128809</v>
      </c>
      <c r="D18" s="373">
        <f t="shared" ref="D18:O18" si="0">SUM(D12:D16)</f>
        <v>-361.02709880106011</v>
      </c>
      <c r="E18" s="373">
        <f>SUM(E12:E16)</f>
        <v>-367.16255057154603</v>
      </c>
      <c r="F18" s="373">
        <f>SUM(F12:F16)</f>
        <v>-393.19843531049719</v>
      </c>
      <c r="G18" s="374">
        <f t="shared" si="0"/>
        <v>-454.38539590694563</v>
      </c>
      <c r="H18" s="374">
        <f t="shared" si="0"/>
        <v>-521.8068256267112</v>
      </c>
      <c r="I18" s="374">
        <f t="shared" si="0"/>
        <v>-70.20121007375414</v>
      </c>
      <c r="J18" s="374">
        <f t="shared" si="0"/>
        <v>-58.547378739870624</v>
      </c>
      <c r="K18" s="374">
        <f t="shared" si="0"/>
        <v>-164.24590641000566</v>
      </c>
      <c r="L18" s="374">
        <f t="shared" si="0"/>
        <v>-363.31594053012282</v>
      </c>
      <c r="M18" s="374">
        <f t="shared" si="0"/>
        <v>-393.18246587271864</v>
      </c>
      <c r="N18" s="374">
        <f t="shared" si="0"/>
        <v>-425.53783314312182</v>
      </c>
      <c r="O18" s="374">
        <f t="shared" si="0"/>
        <v>-460.59170145095021</v>
      </c>
    </row>
    <row r="19" spans="2:15" ht="13.8" thickBot="1">
      <c r="B19" s="69"/>
      <c r="C19" s="368"/>
      <c r="D19" s="368"/>
      <c r="E19" s="368"/>
      <c r="F19" s="368"/>
      <c r="G19" s="368"/>
      <c r="H19" s="368"/>
      <c r="I19" s="368"/>
      <c r="J19" s="368"/>
      <c r="K19" s="368"/>
      <c r="L19" s="368"/>
      <c r="M19" s="368"/>
      <c r="N19" s="368"/>
      <c r="O19" s="368"/>
    </row>
    <row r="20" spans="2:15" ht="19.8" thickBot="1">
      <c r="B20" s="13" t="s">
        <v>90</v>
      </c>
      <c r="C20" s="375">
        <f t="shared" ref="C20:O20" si="1">SUM(C8:C10)+C18</f>
        <v>2463.886624616709</v>
      </c>
      <c r="D20" s="375">
        <f t="shared" si="1"/>
        <v>3374.1954720761828</v>
      </c>
      <c r="E20" s="375">
        <f t="shared" si="1"/>
        <v>3898.0492603291636</v>
      </c>
      <c r="F20" s="375">
        <f t="shared" si="1"/>
        <v>4539.9830494880289</v>
      </c>
      <c r="G20" s="375">
        <f t="shared" si="1"/>
        <v>5377.2139767844546</v>
      </c>
      <c r="H20" s="375">
        <f t="shared" si="1"/>
        <v>6200.0629430611698</v>
      </c>
      <c r="I20" s="375">
        <f t="shared" si="1"/>
        <v>8235.0088792205897</v>
      </c>
      <c r="J20" s="375">
        <f t="shared" si="1"/>
        <v>10192.245228584208</v>
      </c>
      <c r="K20" s="375">
        <f t="shared" si="1"/>
        <v>12217.526600603207</v>
      </c>
      <c r="L20" s="375">
        <f t="shared" si="1"/>
        <v>14525.012575875844</v>
      </c>
      <c r="M20" s="375">
        <f t="shared" si="1"/>
        <v>17421.508507661409</v>
      </c>
      <c r="N20" s="375">
        <f t="shared" si="1"/>
        <v>20837.14136408607</v>
      </c>
      <c r="O20" s="375">
        <f t="shared" si="1"/>
        <v>24857.990764400824</v>
      </c>
    </row>
    <row r="21" spans="2:15" ht="19.2">
      <c r="B21" s="12" t="s">
        <v>81</v>
      </c>
      <c r="C21" s="368"/>
      <c r="D21" s="368"/>
      <c r="E21" s="368"/>
      <c r="F21" s="368"/>
      <c r="G21" s="368"/>
      <c r="H21" s="368"/>
      <c r="I21" s="368"/>
      <c r="J21" s="368"/>
      <c r="K21" s="368"/>
      <c r="L21" s="368"/>
      <c r="M21" s="368"/>
      <c r="N21" s="368"/>
      <c r="O21" s="368"/>
    </row>
    <row r="22" spans="2:15">
      <c r="B22" s="69" t="s">
        <v>19</v>
      </c>
      <c r="C22" s="368">
        <f>'3-Balanço'!D12-'3-Balanço'!E12</f>
        <v>0</v>
      </c>
      <c r="D22" s="368">
        <f>'3-Balanço'!E12-'3-Balanço'!F12</f>
        <v>0</v>
      </c>
      <c r="E22" s="368">
        <f>'3-Balanço'!F12-'3-Balanço'!G12</f>
        <v>0</v>
      </c>
      <c r="F22" s="368">
        <f>'3-Balanço'!G12-'3-Balanço'!H12</f>
        <v>0</v>
      </c>
      <c r="G22" s="368">
        <f>'3-Balanço'!H12-'3-Balanço'!I12</f>
        <v>0</v>
      </c>
      <c r="H22" s="368">
        <f>'3-Balanço'!I12-'3-Balanço'!J12</f>
        <v>0</v>
      </c>
      <c r="I22" s="368">
        <f>'3-Balanço'!J12-'3-Balanço'!K12</f>
        <v>0</v>
      </c>
      <c r="J22" s="368">
        <f>'3-Balanço'!K12-'3-Balanço'!L12</f>
        <v>0</v>
      </c>
      <c r="K22" s="368">
        <f>'3-Balanço'!L12-'3-Balanço'!M12</f>
        <v>0</v>
      </c>
      <c r="L22" s="368">
        <f>'3-Balanço'!M12-'3-Balanço'!N12</f>
        <v>0</v>
      </c>
      <c r="M22" s="368">
        <f>'3-Balanço'!N12-'3-Balanço'!O12</f>
        <v>0</v>
      </c>
      <c r="N22" s="368">
        <f>'3-Balanço'!O12-'3-Balanço'!P12</f>
        <v>0</v>
      </c>
      <c r="O22" s="368">
        <f>'3-Balanço'!P12-'3-Balanço'!Q12</f>
        <v>0</v>
      </c>
    </row>
    <row r="23" spans="2:15">
      <c r="B23" s="69" t="s">
        <v>20</v>
      </c>
      <c r="C23" s="368">
        <f>'3-Balanço'!D13-'3-Balanço'!E13</f>
        <v>0</v>
      </c>
      <c r="D23" s="368">
        <f>'3-Balanço'!E13-'3-Balanço'!F13</f>
        <v>0</v>
      </c>
      <c r="E23" s="368">
        <f>'3-Balanço'!F13-'3-Balanço'!G13</f>
        <v>0</v>
      </c>
      <c r="F23" s="368">
        <f>'3-Balanço'!G13-'3-Balanço'!H13</f>
        <v>0</v>
      </c>
      <c r="G23" s="368">
        <f>'3-Balanço'!H13-'3-Balanço'!I13</f>
        <v>0</v>
      </c>
      <c r="H23" s="368">
        <f>'3-Balanço'!I13-'3-Balanço'!J13</f>
        <v>0</v>
      </c>
      <c r="I23" s="368">
        <f>'3-Balanço'!J13-'3-Balanço'!K13</f>
        <v>0</v>
      </c>
      <c r="J23" s="368">
        <f>'3-Balanço'!K13-'3-Balanço'!L13</f>
        <v>0</v>
      </c>
      <c r="K23" s="368">
        <f>'3-Balanço'!L13-'3-Balanço'!M13</f>
        <v>0</v>
      </c>
      <c r="L23" s="368">
        <f>'3-Balanço'!M13-'3-Balanço'!N13</f>
        <v>0</v>
      </c>
      <c r="M23" s="368">
        <f>'3-Balanço'!N13-'3-Balanço'!O13</f>
        <v>0</v>
      </c>
      <c r="N23" s="368">
        <f>'3-Balanço'!O13-'3-Balanço'!P13</f>
        <v>0</v>
      </c>
      <c r="O23" s="368">
        <f>'3-Balanço'!P13-'3-Balanço'!Q13</f>
        <v>0</v>
      </c>
    </row>
    <row r="24" spans="2:15">
      <c r="B24" s="69" t="s">
        <v>4</v>
      </c>
      <c r="C24" s="368">
        <f>'3-Balanço'!D14-'3-Balanço'!E14</f>
        <v>0</v>
      </c>
      <c r="D24" s="368">
        <f>'3-Balanço'!E14-'3-Balanço'!F14</f>
        <v>0</v>
      </c>
      <c r="E24" s="368">
        <f>'3-Balanço'!F14-'3-Balanço'!G14</f>
        <v>0</v>
      </c>
      <c r="F24" s="368">
        <f>'3-Balanço'!G14-'3-Balanço'!H14</f>
        <v>0</v>
      </c>
      <c r="G24" s="368">
        <f>'3-Balanço'!H14-'3-Balanço'!I14</f>
        <v>0</v>
      </c>
      <c r="H24" s="368">
        <f>'3-Balanço'!I14-'3-Balanço'!J14</f>
        <v>0</v>
      </c>
      <c r="I24" s="368">
        <f>'3-Balanço'!J14-'3-Balanço'!K14</f>
        <v>0</v>
      </c>
      <c r="J24" s="368">
        <f>'3-Balanço'!K14-'3-Balanço'!L14</f>
        <v>0</v>
      </c>
      <c r="K24" s="368">
        <f>'3-Balanço'!L14-'3-Balanço'!M14</f>
        <v>0</v>
      </c>
      <c r="L24" s="368">
        <f>'3-Balanço'!M14-'3-Balanço'!N14</f>
        <v>0</v>
      </c>
      <c r="M24" s="368">
        <f>'3-Balanço'!N14-'3-Balanço'!O14</f>
        <v>0</v>
      </c>
      <c r="N24" s="368">
        <f>'3-Balanço'!O14-'3-Balanço'!P14</f>
        <v>0</v>
      </c>
      <c r="O24" s="368">
        <f>'3-Balanço'!P14-'3-Balanço'!Q14</f>
        <v>0</v>
      </c>
    </row>
    <row r="25" spans="2:15">
      <c r="B25" s="69" t="s">
        <v>118</v>
      </c>
      <c r="C25" s="368">
        <f>'3-Balanço'!D10-'3-Balanço'!E10</f>
        <v>0</v>
      </c>
      <c r="D25" s="368">
        <f>'3-Balanço'!E10-'3-Balanço'!F10</f>
        <v>0</v>
      </c>
      <c r="E25" s="368">
        <f>'3-Balanço'!F10-'3-Balanço'!G10</f>
        <v>0</v>
      </c>
      <c r="F25" s="368">
        <f>'3-Balanço'!G10-'3-Balanço'!H10</f>
        <v>0</v>
      </c>
      <c r="G25" s="368">
        <f>'3-Balanço'!H10-'3-Balanço'!I10</f>
        <v>0</v>
      </c>
      <c r="H25" s="368">
        <f>'3-Balanço'!I10-'3-Balanço'!J10</f>
        <v>0</v>
      </c>
      <c r="I25" s="368">
        <f>'3-Balanço'!J10-'3-Balanço'!K10</f>
        <v>0</v>
      </c>
      <c r="J25" s="368">
        <f>'3-Balanço'!K10-'3-Balanço'!L10</f>
        <v>0</v>
      </c>
      <c r="K25" s="368">
        <f>'3-Balanço'!L10-'3-Balanço'!M10</f>
        <v>0</v>
      </c>
      <c r="L25" s="368">
        <f>'3-Balanço'!M10-'3-Balanço'!N10</f>
        <v>0</v>
      </c>
      <c r="M25" s="368">
        <f>'3-Balanço'!N10-'3-Balanço'!O10</f>
        <v>0</v>
      </c>
      <c r="N25" s="368">
        <f>'3-Balanço'!O10-'3-Balanço'!P10</f>
        <v>0</v>
      </c>
      <c r="O25" s="368">
        <f>'3-Balanço'!P10-'3-Balanço'!Q10</f>
        <v>0</v>
      </c>
    </row>
    <row r="26" spans="2:15">
      <c r="B26" s="69" t="s">
        <v>115</v>
      </c>
      <c r="C26" s="368">
        <f>'3-Balanço'!D20-'3-Balanço'!E20</f>
        <v>0</v>
      </c>
      <c r="D26" s="368">
        <f>'3-Balanço'!E20-'3-Balanço'!F20</f>
        <v>0</v>
      </c>
      <c r="E26" s="368">
        <f>'3-Balanço'!F20-'3-Balanço'!G20</f>
        <v>0</v>
      </c>
      <c r="F26" s="368">
        <f>'3-Balanço'!G20-'3-Balanço'!H20</f>
        <v>0</v>
      </c>
      <c r="G26" s="368">
        <f>'3-Balanço'!H20-'3-Balanço'!I20</f>
        <v>0</v>
      </c>
      <c r="H26" s="368">
        <f>'3-Balanço'!I20-'3-Balanço'!J20</f>
        <v>0</v>
      </c>
      <c r="I26" s="368">
        <f>'3-Balanço'!J20-'3-Balanço'!K20</f>
        <v>0</v>
      </c>
      <c r="J26" s="368">
        <f>'3-Balanço'!K20-'3-Balanço'!L20</f>
        <v>0</v>
      </c>
      <c r="K26" s="368">
        <f>'3-Balanço'!L20-'3-Balanço'!M20</f>
        <v>0</v>
      </c>
      <c r="L26" s="368">
        <f>'3-Balanço'!M20-'3-Balanço'!N20</f>
        <v>0</v>
      </c>
      <c r="M26" s="368">
        <f>'3-Balanço'!N20-'3-Balanço'!O20</f>
        <v>0</v>
      </c>
      <c r="N26" s="368">
        <f>'3-Balanço'!O20-'3-Balanço'!P20</f>
        <v>0</v>
      </c>
      <c r="O26" s="368">
        <f>'3-Balanço'!P20-'3-Balanço'!Q20</f>
        <v>0</v>
      </c>
    </row>
    <row r="27" spans="2:15">
      <c r="B27" s="69" t="s">
        <v>116</v>
      </c>
      <c r="C27" s="368">
        <f>'3-Balanço'!D21-'3-Balanço'!E21</f>
        <v>-2000</v>
      </c>
      <c r="D27" s="368">
        <f>'3-Balanço'!E21-'3-Balanço'!F21</f>
        <v>-2000</v>
      </c>
      <c r="E27" s="368">
        <f>'3-Balanço'!F21-'3-Balanço'!G21</f>
        <v>-1500</v>
      </c>
      <c r="F27" s="368">
        <f>'3-Balanço'!G21-'3-Balanço'!H21</f>
        <v>-1500</v>
      </c>
      <c r="G27" s="368">
        <f>'3-Balanço'!H21-'3-Balanço'!I21</f>
        <v>-3830</v>
      </c>
      <c r="H27" s="368">
        <f>'3-Balanço'!I21-'3-Balanço'!J21</f>
        <v>-3830</v>
      </c>
      <c r="I27" s="368">
        <f>'3-Balanço'!J21-'3-Balanço'!K21</f>
        <v>-3830</v>
      </c>
      <c r="J27" s="368">
        <f>'3-Balanço'!K21-'3-Balanço'!L21</f>
        <v>-3830</v>
      </c>
      <c r="K27" s="368">
        <f>'3-Balanço'!L21-'3-Balanço'!M21</f>
        <v>-3830</v>
      </c>
      <c r="L27" s="368">
        <f>'3-Balanço'!M21-'3-Balanço'!N21</f>
        <v>-3830</v>
      </c>
      <c r="M27" s="368">
        <f>'3-Balanço'!N21-'3-Balanço'!O21</f>
        <v>-3830</v>
      </c>
      <c r="N27" s="368">
        <f>'3-Balanço'!O21-'3-Balanço'!P21</f>
        <v>-3830</v>
      </c>
      <c r="O27" s="368">
        <f>'3-Balanço'!P21-'3-Balanço'!Q21</f>
        <v>-3830</v>
      </c>
    </row>
    <row r="28" spans="2:15">
      <c r="B28" s="69" t="s">
        <v>117</v>
      </c>
      <c r="C28" s="368">
        <f>'3-Balanço'!D27-'3-Balanço'!E27</f>
        <v>0</v>
      </c>
      <c r="D28" s="368">
        <f>'3-Balanço'!E27-'3-Balanço'!F27</f>
        <v>0</v>
      </c>
      <c r="E28" s="368">
        <f>'3-Balanço'!F27-'3-Balanço'!G27</f>
        <v>0</v>
      </c>
      <c r="F28" s="368">
        <f>'3-Balanço'!G27-'3-Balanço'!H27</f>
        <v>0</v>
      </c>
      <c r="G28" s="368">
        <f>'3-Balanço'!H27-'3-Balanço'!I27</f>
        <v>0</v>
      </c>
      <c r="H28" s="368">
        <f>'3-Balanço'!I27-'3-Balanço'!J27</f>
        <v>0</v>
      </c>
      <c r="I28" s="368">
        <f>'3-Balanço'!J27-'3-Balanço'!K27</f>
        <v>0</v>
      </c>
      <c r="J28" s="368">
        <f>'3-Balanço'!K27-'3-Balanço'!L27</f>
        <v>0</v>
      </c>
      <c r="K28" s="368">
        <f>'3-Balanço'!L27-'3-Balanço'!M27</f>
        <v>0</v>
      </c>
      <c r="L28" s="368">
        <f>'3-Balanço'!M27-'3-Balanço'!N27</f>
        <v>0</v>
      </c>
      <c r="M28" s="368">
        <f>'3-Balanço'!N27-'3-Balanço'!O27</f>
        <v>0</v>
      </c>
      <c r="N28" s="368">
        <f>'3-Balanço'!O27-'3-Balanço'!P27</f>
        <v>0</v>
      </c>
      <c r="O28" s="368">
        <f>'3-Balanço'!P27-'3-Balanço'!Q27</f>
        <v>0</v>
      </c>
    </row>
    <row r="29" spans="2:15">
      <c r="B29" s="69" t="s">
        <v>155</v>
      </c>
      <c r="C29" s="368">
        <f>'3-Balanço'!D28-'3-Balanço'!E28</f>
        <v>0</v>
      </c>
      <c r="D29" s="368">
        <f>'3-Balanço'!E28-'3-Balanço'!F28</f>
        <v>0</v>
      </c>
      <c r="E29" s="368">
        <f>'3-Balanço'!F28-'3-Balanço'!G28</f>
        <v>0</v>
      </c>
      <c r="F29" s="368">
        <f>'3-Balanço'!G28-'3-Balanço'!H28</f>
        <v>0</v>
      </c>
      <c r="G29" s="368">
        <f>'3-Balanço'!H28-'3-Balanço'!I28</f>
        <v>0</v>
      </c>
      <c r="H29" s="368">
        <f>'3-Balanço'!I28-'3-Balanço'!J28</f>
        <v>0</v>
      </c>
      <c r="I29" s="368">
        <f>'3-Balanço'!J28-'3-Balanço'!K28</f>
        <v>0</v>
      </c>
      <c r="J29" s="368">
        <f>'3-Balanço'!K28-'3-Balanço'!L28</f>
        <v>0</v>
      </c>
      <c r="K29" s="368">
        <f>'3-Balanço'!L28-'3-Balanço'!M28</f>
        <v>0</v>
      </c>
      <c r="L29" s="368">
        <f>'3-Balanço'!M28-'3-Balanço'!N28</f>
        <v>0</v>
      </c>
      <c r="M29" s="368">
        <f>'3-Balanço'!N28-'3-Balanço'!O28</f>
        <v>0</v>
      </c>
      <c r="N29" s="368">
        <f>'3-Balanço'!O28-'3-Balanço'!P28</f>
        <v>0</v>
      </c>
      <c r="O29" s="368">
        <f>'3-Balanço'!P28-'3-Balanço'!Q28</f>
        <v>0</v>
      </c>
    </row>
    <row r="30" spans="2:15">
      <c r="B30" s="69" t="s">
        <v>119</v>
      </c>
      <c r="C30" s="368">
        <f>'3-Balanço'!D31-'3-Balanço'!E31</f>
        <v>0</v>
      </c>
      <c r="D30" s="368">
        <f>'3-Balanço'!E31-'3-Balanço'!F31</f>
        <v>0</v>
      </c>
      <c r="E30" s="368">
        <f>'3-Balanço'!F31-'3-Balanço'!G31</f>
        <v>0</v>
      </c>
      <c r="F30" s="368">
        <f>'3-Balanço'!G31-'3-Balanço'!H31</f>
        <v>0</v>
      </c>
      <c r="G30" s="368">
        <f>'3-Balanço'!H31-'3-Balanço'!I31</f>
        <v>0</v>
      </c>
      <c r="H30" s="368">
        <f>'3-Balanço'!I31-'3-Balanço'!J31</f>
        <v>0</v>
      </c>
      <c r="I30" s="368">
        <f>'3-Balanço'!J31-'3-Balanço'!K31</f>
        <v>0</v>
      </c>
      <c r="J30" s="368">
        <f>'3-Balanço'!K31-'3-Balanço'!L31</f>
        <v>0</v>
      </c>
      <c r="K30" s="368">
        <f>'3-Balanço'!L31-'3-Balanço'!M31</f>
        <v>0</v>
      </c>
      <c r="L30" s="368">
        <f>'3-Balanço'!M31-'3-Balanço'!N31</f>
        <v>0</v>
      </c>
      <c r="M30" s="368">
        <f>'3-Balanço'!N31-'3-Balanço'!O31</f>
        <v>0</v>
      </c>
      <c r="N30" s="368">
        <f>'3-Balanço'!O31-'3-Balanço'!P31</f>
        <v>0</v>
      </c>
      <c r="O30" s="368">
        <f>'3-Balanço'!P31-'3-Balanço'!Q31</f>
        <v>0</v>
      </c>
    </row>
    <row r="31" spans="2:15">
      <c r="B31" s="69" t="s">
        <v>18</v>
      </c>
      <c r="C31" s="368">
        <f>'3-Balanço'!D32-'3-Balanço'!E32</f>
        <v>0</v>
      </c>
      <c r="D31" s="368">
        <f>'3-Balanço'!E32-'3-Balanço'!F32</f>
        <v>0</v>
      </c>
      <c r="E31" s="368">
        <f>'3-Balanço'!F32-'3-Balanço'!G32</f>
        <v>0</v>
      </c>
      <c r="F31" s="368">
        <f>'3-Balanço'!G32-'3-Balanço'!H32</f>
        <v>0</v>
      </c>
      <c r="G31" s="368">
        <f>'3-Balanço'!H32-'3-Balanço'!I32</f>
        <v>0</v>
      </c>
      <c r="H31" s="368">
        <f>'3-Balanço'!I32-'3-Balanço'!J32</f>
        <v>0</v>
      </c>
      <c r="I31" s="368">
        <f>'3-Balanço'!J32-'3-Balanço'!K32</f>
        <v>0</v>
      </c>
      <c r="J31" s="368">
        <f>'3-Balanço'!K32-'3-Balanço'!L32</f>
        <v>0</v>
      </c>
      <c r="K31" s="368">
        <f>'3-Balanço'!L32-'3-Balanço'!M32</f>
        <v>0</v>
      </c>
      <c r="L31" s="368">
        <f>'3-Balanço'!M32-'3-Balanço'!N32</f>
        <v>0</v>
      </c>
      <c r="M31" s="368">
        <f>'3-Balanço'!N32-'3-Balanço'!O32</f>
        <v>0</v>
      </c>
      <c r="N31" s="368">
        <f>'3-Balanço'!O32-'3-Balanço'!P32</f>
        <v>0</v>
      </c>
      <c r="O31" s="368">
        <f>'3-Balanço'!P32-'3-Balanço'!Q32</f>
        <v>0</v>
      </c>
    </row>
    <row r="32" spans="2:15">
      <c r="B32" s="69" t="s">
        <v>120</v>
      </c>
      <c r="C32" s="368">
        <f>'3-Balanço'!D33-'3-Balanço'!E33</f>
        <v>0</v>
      </c>
      <c r="D32" s="368">
        <f>'3-Balanço'!E33-'3-Balanço'!F33</f>
        <v>0</v>
      </c>
      <c r="E32" s="368">
        <f>'3-Balanço'!F33-'3-Balanço'!G33</f>
        <v>0</v>
      </c>
      <c r="F32" s="368">
        <f>'3-Balanço'!G33-'3-Balanço'!H33</f>
        <v>0</v>
      </c>
      <c r="G32" s="368">
        <f>'3-Balanço'!H33-'3-Balanço'!I33</f>
        <v>0</v>
      </c>
      <c r="H32" s="368">
        <f>'3-Balanço'!I33-'3-Balanço'!J33</f>
        <v>0</v>
      </c>
      <c r="I32" s="368">
        <f>'3-Balanço'!J33-'3-Balanço'!K33</f>
        <v>0</v>
      </c>
      <c r="J32" s="368">
        <f>'3-Balanço'!K33-'3-Balanço'!L33</f>
        <v>0</v>
      </c>
      <c r="K32" s="368">
        <f>'3-Balanço'!L33-'3-Balanço'!M33</f>
        <v>0</v>
      </c>
      <c r="L32" s="368">
        <f>'3-Balanço'!M33-'3-Balanço'!N33</f>
        <v>0</v>
      </c>
      <c r="M32" s="368">
        <f>'3-Balanço'!N33-'3-Balanço'!O33</f>
        <v>0</v>
      </c>
      <c r="N32" s="368">
        <f>'3-Balanço'!O33-'3-Balanço'!P33</f>
        <v>0</v>
      </c>
      <c r="O32" s="368">
        <f>'3-Balanço'!P33-'3-Balanço'!Q33</f>
        <v>0</v>
      </c>
    </row>
    <row r="33" spans="2:15">
      <c r="B33" s="69" t="s">
        <v>121</v>
      </c>
      <c r="C33" s="368">
        <f>'3-Balanço'!D34-'3-Balanço'!E34</f>
        <v>0</v>
      </c>
      <c r="D33" s="368">
        <f>'3-Balanço'!E34-'3-Balanço'!F34</f>
        <v>0</v>
      </c>
      <c r="E33" s="368">
        <f>'3-Balanço'!F34-'3-Balanço'!G34</f>
        <v>0</v>
      </c>
      <c r="F33" s="368">
        <f>'3-Balanço'!G34-'3-Balanço'!H34</f>
        <v>0</v>
      </c>
      <c r="G33" s="368">
        <f>'3-Balanço'!H34-'3-Balanço'!I34</f>
        <v>0</v>
      </c>
      <c r="H33" s="368">
        <f>'3-Balanço'!I34-'3-Balanço'!J34</f>
        <v>0</v>
      </c>
      <c r="I33" s="368">
        <f>'3-Balanço'!J34-'3-Balanço'!K34</f>
        <v>0</v>
      </c>
      <c r="J33" s="368">
        <f>'3-Balanço'!K34-'3-Balanço'!L34</f>
        <v>0</v>
      </c>
      <c r="K33" s="368">
        <f>'3-Balanço'!L34-'3-Balanço'!M34</f>
        <v>0</v>
      </c>
      <c r="L33" s="368">
        <f>'3-Balanço'!M34-'3-Balanço'!N34</f>
        <v>0</v>
      </c>
      <c r="M33" s="368">
        <f>'3-Balanço'!N34-'3-Balanço'!O34</f>
        <v>0</v>
      </c>
      <c r="N33" s="368">
        <f>'3-Balanço'!O34-'3-Balanço'!P34</f>
        <v>0</v>
      </c>
      <c r="O33" s="368">
        <f>'3-Balanço'!P34-'3-Balanço'!Q34</f>
        <v>0</v>
      </c>
    </row>
    <row r="34" spans="2:15">
      <c r="B34" s="69" t="s">
        <v>4</v>
      </c>
      <c r="C34" s="368">
        <f>'3-Balanço'!D35-'3-Balanço'!E35</f>
        <v>0</v>
      </c>
      <c r="D34" s="368">
        <f>'3-Balanço'!E35-'3-Balanço'!F35</f>
        <v>0</v>
      </c>
      <c r="E34" s="368">
        <f>'3-Balanço'!F35-'3-Balanço'!G35</f>
        <v>0</v>
      </c>
      <c r="F34" s="368">
        <f>'3-Balanço'!G35-'3-Balanço'!H35</f>
        <v>0</v>
      </c>
      <c r="G34" s="368">
        <f>'3-Balanço'!H35-'3-Balanço'!I35</f>
        <v>0</v>
      </c>
      <c r="H34" s="368">
        <f>'3-Balanço'!I35-'3-Balanço'!J35</f>
        <v>0</v>
      </c>
      <c r="I34" s="368">
        <f>'3-Balanço'!J35-'3-Balanço'!K35</f>
        <v>0</v>
      </c>
      <c r="J34" s="368">
        <f>'3-Balanço'!K35-'3-Balanço'!L35</f>
        <v>0</v>
      </c>
      <c r="K34" s="368">
        <f>'3-Balanço'!L35-'3-Balanço'!M35</f>
        <v>0</v>
      </c>
      <c r="L34" s="368">
        <f>'3-Balanço'!M35-'3-Balanço'!N35</f>
        <v>0</v>
      </c>
      <c r="M34" s="368">
        <f>'3-Balanço'!N35-'3-Balanço'!O35</f>
        <v>0</v>
      </c>
      <c r="N34" s="368">
        <f>'3-Balanço'!O35-'3-Balanço'!P35</f>
        <v>0</v>
      </c>
      <c r="O34" s="368">
        <f>'3-Balanço'!P35-'3-Balanço'!Q35</f>
        <v>0</v>
      </c>
    </row>
    <row r="35" spans="2:15" ht="13.8" thickBot="1">
      <c r="B35" s="67"/>
      <c r="C35" s="368"/>
      <c r="D35" s="368"/>
      <c r="E35" s="368"/>
      <c r="F35" s="368"/>
      <c r="G35" s="368"/>
      <c r="H35" s="368"/>
      <c r="I35" s="368"/>
      <c r="J35" s="368"/>
      <c r="K35" s="368"/>
      <c r="L35" s="368"/>
      <c r="M35" s="368"/>
      <c r="N35" s="368"/>
      <c r="O35" s="368"/>
    </row>
    <row r="36" spans="2:15" ht="19.8" thickBot="1">
      <c r="B36" s="13" t="s">
        <v>91</v>
      </c>
      <c r="C36" s="375">
        <f>SUM(C22:C35)</f>
        <v>-2000</v>
      </c>
      <c r="D36" s="375">
        <f t="shared" ref="D36:O36" si="2">SUM(D22:D35)</f>
        <v>-2000</v>
      </c>
      <c r="E36" s="375">
        <f t="shared" si="2"/>
        <v>-1500</v>
      </c>
      <c r="F36" s="375">
        <f t="shared" si="2"/>
        <v>-1500</v>
      </c>
      <c r="G36" s="375">
        <f t="shared" si="2"/>
        <v>-3830</v>
      </c>
      <c r="H36" s="375">
        <f t="shared" si="2"/>
        <v>-3830</v>
      </c>
      <c r="I36" s="375">
        <f t="shared" si="2"/>
        <v>-3830</v>
      </c>
      <c r="J36" s="375">
        <f t="shared" si="2"/>
        <v>-3830</v>
      </c>
      <c r="K36" s="375">
        <f t="shared" si="2"/>
        <v>-3830</v>
      </c>
      <c r="L36" s="375">
        <f t="shared" si="2"/>
        <v>-3830</v>
      </c>
      <c r="M36" s="375">
        <f t="shared" si="2"/>
        <v>-3830</v>
      </c>
      <c r="N36" s="375">
        <f t="shared" si="2"/>
        <v>-3830</v>
      </c>
      <c r="O36" s="375">
        <f t="shared" si="2"/>
        <v>-3830</v>
      </c>
    </row>
    <row r="37" spans="2:15" ht="19.2">
      <c r="B37" s="12" t="s">
        <v>82</v>
      </c>
      <c r="C37" s="368"/>
      <c r="D37" s="368"/>
      <c r="E37" s="368"/>
      <c r="F37" s="368"/>
      <c r="G37" s="368"/>
      <c r="H37" s="368"/>
      <c r="I37" s="368"/>
      <c r="J37" s="368"/>
      <c r="K37" s="368"/>
      <c r="L37" s="368"/>
      <c r="M37" s="368"/>
      <c r="N37" s="368"/>
      <c r="O37" s="368"/>
    </row>
    <row r="38" spans="2:15">
      <c r="B38" s="69" t="s">
        <v>89</v>
      </c>
      <c r="C38" s="368">
        <f>'3-Balanço'!E49-'3-Balanço'!D49</f>
        <v>0</v>
      </c>
      <c r="D38" s="368">
        <f>'3-Balanço'!F49-'3-Balanço'!E49</f>
        <v>0</v>
      </c>
      <c r="E38" s="368">
        <f>'3-Balanço'!G49-'3-Balanço'!F49</f>
        <v>0</v>
      </c>
      <c r="F38" s="368">
        <f>'3-Balanço'!H49-'3-Balanço'!G49</f>
        <v>0</v>
      </c>
      <c r="G38" s="368">
        <f>'3-Balanço'!I49-'3-Balanço'!H49</f>
        <v>0</v>
      </c>
      <c r="H38" s="368">
        <f>'3-Balanço'!J49-'3-Balanço'!I49</f>
        <v>0</v>
      </c>
      <c r="I38" s="368">
        <f>'3-Balanço'!K49-'3-Balanço'!J49</f>
        <v>0</v>
      </c>
      <c r="J38" s="368">
        <f>'3-Balanço'!L49-'3-Balanço'!K49</f>
        <v>0</v>
      </c>
      <c r="K38" s="368">
        <f>'3-Balanço'!M49-'3-Balanço'!L49</f>
        <v>0</v>
      </c>
      <c r="L38" s="368">
        <f>'3-Balanço'!N49-'3-Balanço'!M49</f>
        <v>0</v>
      </c>
      <c r="M38" s="368">
        <f>'3-Balanço'!O49-'3-Balanço'!N49</f>
        <v>0</v>
      </c>
      <c r="N38" s="368">
        <f>'3-Balanço'!P49-'3-Balanço'!O49</f>
        <v>0</v>
      </c>
      <c r="O38" s="368">
        <f>'3-Balanço'!Q49-'3-Balanço'!P49</f>
        <v>0</v>
      </c>
    </row>
    <row r="39" spans="2:15" ht="13.8" thickBot="1">
      <c r="B39" s="69" t="s">
        <v>4</v>
      </c>
      <c r="C39" s="369">
        <f>'3-Balanço'!E50-'3-Balanço'!D50</f>
        <v>0</v>
      </c>
      <c r="D39" s="369">
        <f>'3-Balanço'!F50-'3-Balanço'!E50</f>
        <v>0</v>
      </c>
      <c r="E39" s="369">
        <f>'3-Balanço'!G50-'3-Balanço'!F50</f>
        <v>0</v>
      </c>
      <c r="F39" s="369">
        <f>'3-Balanço'!H50-'3-Balanço'!G50</f>
        <v>0</v>
      </c>
      <c r="G39" s="369">
        <f>'3-Balanço'!I50-'3-Balanço'!H50</f>
        <v>0</v>
      </c>
      <c r="H39" s="369">
        <f>'3-Balanço'!J50-'3-Balanço'!I50</f>
        <v>0</v>
      </c>
      <c r="I39" s="369">
        <f>'3-Balanço'!K50-'3-Balanço'!J50</f>
        <v>0</v>
      </c>
      <c r="J39" s="369">
        <f>'3-Balanço'!L50-'3-Balanço'!K50</f>
        <v>0</v>
      </c>
      <c r="K39" s="369">
        <f>'3-Balanço'!M50-'3-Balanço'!L50</f>
        <v>0</v>
      </c>
      <c r="L39" s="369">
        <f>'3-Balanço'!N50-'3-Balanço'!M50</f>
        <v>0</v>
      </c>
      <c r="M39" s="369">
        <f>'3-Balanço'!O50-'3-Balanço'!N50</f>
        <v>0</v>
      </c>
      <c r="N39" s="369">
        <f>'3-Balanço'!P50-'3-Balanço'!O50</f>
        <v>0</v>
      </c>
      <c r="O39" s="369">
        <f>'3-Balanço'!Q50-'3-Balanço'!P50</f>
        <v>0</v>
      </c>
    </row>
    <row r="40" spans="2:15" ht="19.2">
      <c r="B40" s="66" t="s">
        <v>92</v>
      </c>
      <c r="C40" s="368">
        <f>'3-Balanço'!E47-'3-Balanço'!D47+'3-Balanço'!E46-'3-Balanço'!D46</f>
        <v>-108</v>
      </c>
      <c r="D40" s="368">
        <f>'3-Balanço'!F47-'3-Balanço'!E47+'3-Balanço'!F46-'3-Balanço'!E46</f>
        <v>-191</v>
      </c>
      <c r="E40" s="368">
        <f>'3-Balanço'!G47-'3-Balanço'!F47+'3-Balanço'!G46-'3-Balanço'!F46</f>
        <v>-56</v>
      </c>
      <c r="F40" s="368">
        <f>'3-Balanço'!H47-'3-Balanço'!G47+'3-Balanço'!H46-'3-Balanço'!G46</f>
        <v>1486.4</v>
      </c>
      <c r="G40" s="368">
        <f>'3-Balanço'!I47-'3-Balanço'!H47+'3-Balanço'!I46-'3-Balanço'!H46</f>
        <v>-1153.8000000000002</v>
      </c>
      <c r="H40" s="368">
        <f>'3-Balanço'!J47-'3-Balanço'!I47+'3-Balanço'!J46-'3-Balanço'!I46</f>
        <v>82.199999999999932</v>
      </c>
      <c r="I40" s="368">
        <f>'3-Balanço'!K47-'3-Balanço'!J47+'3-Balanço'!K46-'3-Balanço'!J46</f>
        <v>0</v>
      </c>
      <c r="J40" s="368">
        <f>'3-Balanço'!L47-'3-Balanço'!K47+'3-Balanço'!L46-'3-Balanço'!K46</f>
        <v>46.200000000000045</v>
      </c>
      <c r="K40" s="368">
        <f>'3-Balanço'!M47-'3-Balanço'!L47+'3-Balanço'!M46-'3-Balanço'!L46</f>
        <v>42.200000000000045</v>
      </c>
      <c r="L40" s="368">
        <f>'3-Balanço'!N47-'3-Balanço'!M47+'3-Balanço'!N46-'3-Balanço'!M46</f>
        <v>-71.200000000000045</v>
      </c>
      <c r="M40" s="368">
        <f>'3-Balanço'!O47-'3-Balanço'!N47+'3-Balanço'!O46-'3-Balanço'!N46</f>
        <v>-94.199999999999932</v>
      </c>
      <c r="N40" s="368">
        <f>'3-Balanço'!P47-'3-Balanço'!O47+'3-Balanço'!P46-'3-Balanço'!O46</f>
        <v>0</v>
      </c>
      <c r="O40" s="368">
        <f>'3-Balanço'!Q47-'3-Balanço'!P47+'3-Balanço'!Q46-'3-Balanço'!P46</f>
        <v>-224.20000000000005</v>
      </c>
    </row>
    <row r="41" spans="2:15">
      <c r="B41" s="13" t="s">
        <v>83</v>
      </c>
      <c r="C41" s="368"/>
      <c r="D41" s="368"/>
      <c r="E41" s="368"/>
      <c r="F41" s="368"/>
      <c r="G41" s="368"/>
      <c r="H41" s="368"/>
      <c r="I41" s="368"/>
      <c r="J41" s="368"/>
      <c r="K41" s="368"/>
      <c r="L41" s="368"/>
      <c r="M41" s="368"/>
      <c r="N41" s="368"/>
      <c r="O41" s="368"/>
    </row>
    <row r="42" spans="2:15">
      <c r="B42" s="69" t="s">
        <v>22</v>
      </c>
      <c r="C42" s="368">
        <f>'3-Balanço'!E48-'3-Balanço'!D48</f>
        <v>0</v>
      </c>
      <c r="D42" s="368">
        <f>'3-Balanço'!F48-'3-Balanço'!E48</f>
        <v>0</v>
      </c>
      <c r="E42" s="368">
        <f>'3-Balanço'!G48-'3-Balanço'!F48</f>
        <v>0</v>
      </c>
      <c r="F42" s="368">
        <f>'3-Balanço'!H48-'3-Balanço'!G48</f>
        <v>0</v>
      </c>
      <c r="G42" s="368">
        <f>'3-Balanço'!I48-'3-Balanço'!H48</f>
        <v>0</v>
      </c>
      <c r="H42" s="368">
        <f>'3-Balanço'!J48-'3-Balanço'!I48</f>
        <v>0</v>
      </c>
      <c r="I42" s="368">
        <f>'3-Balanço'!K48-'3-Balanço'!J48</f>
        <v>0</v>
      </c>
      <c r="J42" s="368">
        <f>'3-Balanço'!L48-'3-Balanço'!K48</f>
        <v>0</v>
      </c>
      <c r="K42" s="368">
        <f>'3-Balanço'!M48-'3-Balanço'!L48</f>
        <v>0</v>
      </c>
      <c r="L42" s="368">
        <f>'3-Balanço'!N48-'3-Balanço'!M48</f>
        <v>0</v>
      </c>
      <c r="M42" s="368">
        <f>'3-Balanço'!O48-'3-Balanço'!N48</f>
        <v>0</v>
      </c>
      <c r="N42" s="368">
        <f>'3-Balanço'!P48-'3-Balanço'!O48</f>
        <v>0</v>
      </c>
      <c r="O42" s="368">
        <f>'3-Balanço'!Q48-'3-Balanço'!P48</f>
        <v>0</v>
      </c>
    </row>
    <row r="43" spans="2:15">
      <c r="B43" s="13" t="s">
        <v>84</v>
      </c>
      <c r="C43" s="368"/>
      <c r="D43" s="368"/>
      <c r="E43" s="368"/>
      <c r="F43" s="368"/>
      <c r="G43" s="368"/>
      <c r="H43" s="368"/>
      <c r="I43" s="368"/>
      <c r="J43" s="368"/>
      <c r="K43" s="368"/>
      <c r="L43" s="368"/>
      <c r="M43" s="368"/>
      <c r="N43" s="368"/>
      <c r="O43" s="368"/>
    </row>
    <row r="44" spans="2:15">
      <c r="B44" s="69" t="s">
        <v>22</v>
      </c>
      <c r="C44" s="368">
        <f>'3-Balanço'!E56-'3-Balanço'!D56</f>
        <v>0</v>
      </c>
      <c r="D44" s="368">
        <f>'3-Balanço'!F56-'3-Balanço'!E56</f>
        <v>0</v>
      </c>
      <c r="E44" s="368">
        <f>'3-Balanço'!G56-'3-Balanço'!F56</f>
        <v>0</v>
      </c>
      <c r="F44" s="368">
        <f>'3-Balanço'!H56-'3-Balanço'!G56</f>
        <v>0</v>
      </c>
      <c r="G44" s="368">
        <f>'3-Balanço'!I56-'3-Balanço'!H56</f>
        <v>0</v>
      </c>
      <c r="H44" s="368">
        <f>'3-Balanço'!J56-'3-Balanço'!I56</f>
        <v>0</v>
      </c>
      <c r="I44" s="368">
        <f>'3-Balanço'!K56-'3-Balanço'!J56</f>
        <v>0</v>
      </c>
      <c r="J44" s="368">
        <f>'3-Balanço'!L56-'3-Balanço'!K56</f>
        <v>0</v>
      </c>
      <c r="K44" s="368">
        <f>'3-Balanço'!M56-'3-Balanço'!L56</f>
        <v>0</v>
      </c>
      <c r="L44" s="368">
        <f>'3-Balanço'!N56-'3-Balanço'!M56</f>
        <v>0</v>
      </c>
      <c r="M44" s="368">
        <f>'3-Balanço'!O56-'3-Balanço'!N56</f>
        <v>0</v>
      </c>
      <c r="N44" s="368">
        <f>'3-Balanço'!P56-'3-Balanço'!O56</f>
        <v>0</v>
      </c>
      <c r="O44" s="368">
        <f>'3-Balanço'!Q56-'3-Balanço'!P56</f>
        <v>0</v>
      </c>
    </row>
    <row r="45" spans="2:15">
      <c r="B45" s="69" t="s">
        <v>26</v>
      </c>
      <c r="C45" s="368">
        <f>'3-Balanço'!E55-'3-Balanço'!D55</f>
        <v>194</v>
      </c>
      <c r="D45" s="368">
        <f>'3-Balanço'!F55-'3-Balanço'!E55</f>
        <v>482</v>
      </c>
      <c r="E45" s="368">
        <f>'3-Balanço'!G55-'3-Balanço'!F55</f>
        <v>672</v>
      </c>
      <c r="F45" s="368">
        <f>'3-Balanço'!H55-'3-Balanço'!G55</f>
        <v>-614.40000000000009</v>
      </c>
      <c r="G45" s="368">
        <f>'3-Balanço'!I55-'3-Balanço'!H55</f>
        <v>-781.59999999999991</v>
      </c>
      <c r="H45" s="368">
        <f>'3-Balanço'!J55-'3-Balanço'!I55</f>
        <v>257.19999999999982</v>
      </c>
      <c r="I45" s="368">
        <f>'3-Balanço'!K55-'3-Balanço'!J55</f>
        <v>334.19999999999982</v>
      </c>
      <c r="J45" s="368">
        <f>'3-Balanço'!L55-'3-Balanço'!K55</f>
        <v>-145</v>
      </c>
      <c r="K45" s="368">
        <f>'3-Balanço'!M55-'3-Balanço'!L55</f>
        <v>-102.19999999999982</v>
      </c>
      <c r="L45" s="368">
        <f>'3-Balanço'!N55-'3-Balanço'!M55</f>
        <v>-881</v>
      </c>
      <c r="M45" s="368">
        <f>'3-Balanço'!O55-'3-Balanço'!N55</f>
        <v>-786.80000000000018</v>
      </c>
      <c r="N45" s="368">
        <f>'3-Balanço'!P55-'3-Balanço'!O55</f>
        <v>-786.80000000000018</v>
      </c>
      <c r="O45" s="368">
        <f>'3-Balanço'!Q55-'3-Balanço'!P55</f>
        <v>-562.6</v>
      </c>
    </row>
    <row r="46" spans="2:15">
      <c r="B46" s="69" t="s">
        <v>29</v>
      </c>
      <c r="C46" s="368">
        <f>'3-Balanço'!E54-'3-Balanço'!D54</f>
        <v>21.500000000000028</v>
      </c>
      <c r="D46" s="368">
        <f>'3-Balanço'!F54-'3-Balanço'!E54</f>
        <v>23.650000000000006</v>
      </c>
      <c r="E46" s="368">
        <f>'3-Balanço'!G54-'3-Balanço'!F54</f>
        <v>26.015000000000043</v>
      </c>
      <c r="F46" s="368">
        <f>'3-Balanço'!H54-'3-Balanço'!G54</f>
        <v>28.61650000000003</v>
      </c>
      <c r="G46" s="368">
        <f>'3-Balanço'!I54-'3-Balanço'!H54</f>
        <v>31.478150000000028</v>
      </c>
      <c r="H46" s="368">
        <f>'3-Balanço'!J54-'3-Balanço'!I54</f>
        <v>34.625965000000065</v>
      </c>
      <c r="I46" s="368">
        <f>'3-Balanço'!K54-'3-Balanço'!J54</f>
        <v>38.088561500000026</v>
      </c>
      <c r="J46" s="368">
        <f>'3-Balanço'!L54-'3-Balanço'!K54</f>
        <v>41.897417650000079</v>
      </c>
      <c r="K46" s="368">
        <f>'3-Balanço'!M54-'3-Balanço'!L54</f>
        <v>46.087159415000087</v>
      </c>
      <c r="L46" s="368">
        <f>'3-Balanço'!N54-'3-Balanço'!M54</f>
        <v>50.695875356500096</v>
      </c>
      <c r="M46" s="368">
        <f>'3-Balanço'!O54-'3-Balanço'!N54</f>
        <v>55.76546289215014</v>
      </c>
      <c r="N46" s="368">
        <f>'3-Balanço'!P54-'3-Balanço'!O54</f>
        <v>61.342009181365142</v>
      </c>
      <c r="O46" s="368">
        <f>'3-Balanço'!Q54-'3-Balanço'!P54</f>
        <v>67.4762100995016</v>
      </c>
    </row>
    <row r="47" spans="2:15">
      <c r="B47" s="69" t="s">
        <v>4</v>
      </c>
      <c r="C47" s="368">
        <f>'3-Balanço'!E59-'3-Balanço'!D59</f>
        <v>0</v>
      </c>
      <c r="D47" s="368">
        <f>'3-Balanço'!F59-'3-Balanço'!E59</f>
        <v>0</v>
      </c>
      <c r="E47" s="368">
        <f>'3-Balanço'!G59-'3-Balanço'!F59</f>
        <v>0</v>
      </c>
      <c r="F47" s="368">
        <f>'3-Balanço'!H59-'3-Balanço'!G59</f>
        <v>0</v>
      </c>
      <c r="G47" s="368">
        <f>'3-Balanço'!I59-'3-Balanço'!H59</f>
        <v>0</v>
      </c>
      <c r="H47" s="368">
        <f>'3-Balanço'!J59-'3-Balanço'!I59</f>
        <v>0</v>
      </c>
      <c r="I47" s="368">
        <f>'3-Balanço'!K59-'3-Balanço'!J59</f>
        <v>0</v>
      </c>
      <c r="J47" s="368">
        <f>'3-Balanço'!L59-'3-Balanço'!K59</f>
        <v>0</v>
      </c>
      <c r="K47" s="368">
        <f>'3-Balanço'!M59-'3-Balanço'!L59</f>
        <v>0</v>
      </c>
      <c r="L47" s="368">
        <f>'3-Balanço'!N59-'3-Balanço'!M59</f>
        <v>0</v>
      </c>
      <c r="M47" s="368">
        <f>'3-Balanço'!O59-'3-Balanço'!N59</f>
        <v>0</v>
      </c>
      <c r="N47" s="368">
        <f>'3-Balanço'!P59-'3-Balanço'!O59</f>
        <v>0</v>
      </c>
      <c r="O47" s="368">
        <f>'3-Balanço'!Q59-'3-Balanço'!P59</f>
        <v>0</v>
      </c>
    </row>
    <row r="48" spans="2:15" ht="19.2">
      <c r="B48" s="69" t="s">
        <v>93</v>
      </c>
      <c r="C48" s="368">
        <f>'3-Balanço'!E45-'3-Balanço'!D45</f>
        <v>0</v>
      </c>
      <c r="D48" s="368">
        <f>'3-Balanço'!F45-'3-Balanço'!E45</f>
        <v>0</v>
      </c>
      <c r="E48" s="368">
        <f>'3-Balanço'!G45-'3-Balanço'!F45</f>
        <v>0</v>
      </c>
      <c r="F48" s="368">
        <f>'3-Balanço'!H45-'3-Balanço'!G45</f>
        <v>0</v>
      </c>
      <c r="G48" s="368">
        <f>'3-Balanço'!I45-'3-Balanço'!H45</f>
        <v>0</v>
      </c>
      <c r="H48" s="368">
        <f>'3-Balanço'!J45-'3-Balanço'!I45</f>
        <v>0</v>
      </c>
      <c r="I48" s="368">
        <f>'3-Balanço'!K45-'3-Balanço'!J45</f>
        <v>0</v>
      </c>
      <c r="J48" s="368">
        <f>'3-Balanço'!L45-'3-Balanço'!K45</f>
        <v>0</v>
      </c>
      <c r="K48" s="368">
        <f>'3-Balanço'!M45-'3-Balanço'!L45</f>
        <v>0</v>
      </c>
      <c r="L48" s="368">
        <f>'3-Balanço'!N45-'3-Balanço'!M45</f>
        <v>0</v>
      </c>
      <c r="M48" s="368">
        <f>'3-Balanço'!O45-'3-Balanço'!N45</f>
        <v>0</v>
      </c>
      <c r="N48" s="368">
        <f>'3-Balanço'!P45-'3-Balanço'!O45</f>
        <v>0</v>
      </c>
      <c r="O48" s="368">
        <f>'3-Balanço'!Q45-'3-Balanço'!P45</f>
        <v>0</v>
      </c>
    </row>
    <row r="49" spans="1:15">
      <c r="B49" s="69" t="s">
        <v>30</v>
      </c>
      <c r="C49" s="368">
        <f>'3-Balanço'!E57-'3-Balanço'!D57</f>
        <v>0</v>
      </c>
      <c r="D49" s="368">
        <f>'3-Balanço'!F57-'3-Balanço'!E57</f>
        <v>0</v>
      </c>
      <c r="E49" s="368">
        <f>'3-Balanço'!G57-'3-Balanço'!F57</f>
        <v>0</v>
      </c>
      <c r="F49" s="368">
        <f>'3-Balanço'!H57-'3-Balanço'!G57</f>
        <v>0</v>
      </c>
      <c r="G49" s="368">
        <f>'3-Balanço'!I57-'3-Balanço'!H57</f>
        <v>0</v>
      </c>
      <c r="H49" s="368">
        <f>'3-Balanço'!J57-'3-Balanço'!I57</f>
        <v>0</v>
      </c>
      <c r="I49" s="368">
        <f>'3-Balanço'!K57-'3-Balanço'!J57</f>
        <v>0</v>
      </c>
      <c r="J49" s="368">
        <f>'3-Balanço'!L57-'3-Balanço'!K57</f>
        <v>0</v>
      </c>
      <c r="K49" s="368">
        <f>'3-Balanço'!M57-'3-Balanço'!L57</f>
        <v>0</v>
      </c>
      <c r="L49" s="368">
        <f>'3-Balanço'!N57-'3-Balanço'!M57</f>
        <v>0</v>
      </c>
      <c r="M49" s="368">
        <f>'3-Balanço'!O57-'3-Balanço'!N57</f>
        <v>0</v>
      </c>
      <c r="N49" s="368">
        <f>'3-Balanço'!P57-'3-Balanço'!O57</f>
        <v>0</v>
      </c>
      <c r="O49" s="368">
        <f>'3-Balanço'!Q57-'3-Balanço'!P57</f>
        <v>0</v>
      </c>
    </row>
    <row r="50" spans="1:15">
      <c r="B50" s="69" t="s">
        <v>31</v>
      </c>
      <c r="C50" s="368">
        <f>'3-Balanço'!E58-'3-Balanço'!D58</f>
        <v>0</v>
      </c>
      <c r="D50" s="368">
        <f>'3-Balanço'!F58-'3-Balanço'!E58</f>
        <v>0</v>
      </c>
      <c r="E50" s="368">
        <f>'3-Balanço'!G58-'3-Balanço'!F58</f>
        <v>0</v>
      </c>
      <c r="F50" s="368">
        <f>'3-Balanço'!H58-'3-Balanço'!G58</f>
        <v>0</v>
      </c>
      <c r="G50" s="368">
        <f>'3-Balanço'!I58-'3-Balanço'!H58</f>
        <v>0</v>
      </c>
      <c r="H50" s="368">
        <f>'3-Balanço'!J58-'3-Balanço'!I58</f>
        <v>0</v>
      </c>
      <c r="I50" s="368">
        <f>'3-Balanço'!K58-'3-Balanço'!J58</f>
        <v>0</v>
      </c>
      <c r="J50" s="368">
        <f>'3-Balanço'!L58-'3-Balanço'!K58</f>
        <v>0</v>
      </c>
      <c r="K50" s="368">
        <f>'3-Balanço'!M58-'3-Balanço'!L58</f>
        <v>0</v>
      </c>
      <c r="L50" s="368">
        <f>'3-Balanço'!N58-'3-Balanço'!M58</f>
        <v>0</v>
      </c>
      <c r="M50" s="368">
        <f>'3-Balanço'!O58-'3-Balanço'!N58</f>
        <v>0</v>
      </c>
      <c r="N50" s="368">
        <f>'3-Balanço'!P58-'3-Balanço'!O58</f>
        <v>0</v>
      </c>
      <c r="O50" s="368">
        <f>'3-Balanço'!Q58-'3-Balanço'!P58</f>
        <v>0</v>
      </c>
    </row>
    <row r="51" spans="1:15">
      <c r="B51" s="69" t="s">
        <v>211</v>
      </c>
      <c r="C51" s="368">
        <f>-'4-DRE'!C57</f>
        <v>-1286.5</v>
      </c>
      <c r="D51" s="368">
        <f>-'4-DRE'!D57</f>
        <v>-1474.021582364795</v>
      </c>
      <c r="E51" s="368">
        <f>-'4-DRE'!E57</f>
        <v>-1497.3112854386216</v>
      </c>
      <c r="F51" s="368">
        <f>-'4-DRE'!F57</f>
        <v>-1712.3059054503547</v>
      </c>
      <c r="G51" s="368">
        <f>-'4-DRE'!G57</f>
        <v>-3013.1861135988943</v>
      </c>
      <c r="H51" s="368">
        <f>-'4-DRE'!H57</f>
        <v>-3630.7495295185499</v>
      </c>
      <c r="I51" s="368">
        <f>-'4-DRE'!I57</f>
        <v>-4154.8273265159105</v>
      </c>
      <c r="J51" s="368">
        <f>-'4-DRE'!J57</f>
        <v>-5198.7075669707574</v>
      </c>
      <c r="K51" s="368">
        <f>-'4-DRE'!K57</f>
        <v>-6514.2694554930595</v>
      </c>
      <c r="L51" s="368">
        <f>-'4-DRE'!L57</f>
        <v>-7968.8793802599093</v>
      </c>
      <c r="M51" s="368">
        <f>-'4-DRE'!M57</f>
        <v>-9705.1713873044755</v>
      </c>
      <c r="N51" s="368">
        <f>-'4-DRE'!N57</f>
        <v>-11756.318230150599</v>
      </c>
      <c r="O51" s="368">
        <f>-'4-DRE'!O57</f>
        <v>-14198.684397921894</v>
      </c>
    </row>
    <row r="52" spans="1:15">
      <c r="B52" s="66" t="s">
        <v>32</v>
      </c>
      <c r="C52" s="368">
        <f>'3-Balanço'!E62-'3-Balanço'!D62</f>
        <v>0</v>
      </c>
      <c r="D52" s="368">
        <f>'3-Balanço'!F62-'3-Balanço'!E62</f>
        <v>0</v>
      </c>
      <c r="E52" s="368">
        <f>'3-Balanço'!G62-'3-Balanço'!F62</f>
        <v>0</v>
      </c>
      <c r="F52" s="368">
        <f>'3-Balanço'!H62-'3-Balanço'!G62</f>
        <v>0</v>
      </c>
      <c r="G52" s="368">
        <f>'3-Balanço'!I62-'3-Balanço'!H62</f>
        <v>0</v>
      </c>
      <c r="H52" s="368">
        <f>'3-Balanço'!J62-'3-Balanço'!I62</f>
        <v>0</v>
      </c>
      <c r="I52" s="368">
        <f>'3-Balanço'!K62-'3-Balanço'!J62</f>
        <v>0</v>
      </c>
      <c r="J52" s="368">
        <f>'3-Balanço'!L62-'3-Balanço'!K62</f>
        <v>0</v>
      </c>
      <c r="K52" s="368">
        <f>'3-Balanço'!M62-'3-Balanço'!L62</f>
        <v>0</v>
      </c>
      <c r="L52" s="368">
        <f>'3-Balanço'!N62-'3-Balanço'!M62</f>
        <v>0</v>
      </c>
      <c r="M52" s="368">
        <f>'3-Balanço'!O62-'3-Balanço'!N62</f>
        <v>0</v>
      </c>
      <c r="N52" s="368">
        <f>'3-Balanço'!P62-'3-Balanço'!O62</f>
        <v>0</v>
      </c>
      <c r="O52" s="368">
        <f>'3-Balanço'!Q62-'3-Balanço'!P62</f>
        <v>0</v>
      </c>
    </row>
    <row r="53" spans="1:15">
      <c r="B53" s="66" t="s">
        <v>122</v>
      </c>
      <c r="C53" s="368">
        <f>'3-Balanço'!E70-'3-Balanço'!D70</f>
        <v>0</v>
      </c>
      <c r="D53" s="368">
        <f>'3-Balanço'!F70-'3-Balanço'!E70</f>
        <v>0</v>
      </c>
      <c r="E53" s="368">
        <f>'3-Balanço'!G70-'3-Balanço'!F70</f>
        <v>0</v>
      </c>
      <c r="F53" s="368">
        <f>'3-Balanço'!H70-'3-Balanço'!G70</f>
        <v>0</v>
      </c>
      <c r="G53" s="368">
        <f>'3-Balanço'!I70-'3-Balanço'!H70</f>
        <v>0</v>
      </c>
      <c r="H53" s="368">
        <f>'3-Balanço'!J70-'3-Balanço'!I70</f>
        <v>0</v>
      </c>
      <c r="I53" s="368">
        <f>'3-Balanço'!K70-'3-Balanço'!J70</f>
        <v>0</v>
      </c>
      <c r="J53" s="368">
        <f>'3-Balanço'!L70-'3-Balanço'!K70</f>
        <v>0</v>
      </c>
      <c r="K53" s="368">
        <f>'3-Balanço'!M70-'3-Balanço'!L70</f>
        <v>0</v>
      </c>
      <c r="L53" s="368">
        <f>'3-Balanço'!N70-'3-Balanço'!M70</f>
        <v>0</v>
      </c>
      <c r="M53" s="368">
        <f>'3-Balanço'!O70-'3-Balanço'!N70</f>
        <v>0</v>
      </c>
      <c r="N53" s="368">
        <f>'3-Balanço'!P70-'3-Balanço'!O70</f>
        <v>0</v>
      </c>
      <c r="O53" s="368">
        <f>'3-Balanço'!Q70-'3-Balanço'!P70</f>
        <v>0</v>
      </c>
    </row>
    <row r="54" spans="1:15">
      <c r="B54" s="66" t="s">
        <v>37</v>
      </c>
      <c r="C54" s="368">
        <f>'3-Balanço'!E71-'3-Balanço'!D71</f>
        <v>0</v>
      </c>
      <c r="D54" s="368">
        <f>'3-Balanço'!F71-'3-Balanço'!E71</f>
        <v>0</v>
      </c>
      <c r="E54" s="368">
        <f>'3-Balanço'!G71-'3-Balanço'!F71</f>
        <v>0</v>
      </c>
      <c r="F54" s="368">
        <f>'3-Balanço'!H71-'3-Balanço'!G71</f>
        <v>0</v>
      </c>
      <c r="G54" s="368">
        <f>'3-Balanço'!I71-'3-Balanço'!H71</f>
        <v>0</v>
      </c>
      <c r="H54" s="368">
        <f>'3-Balanço'!J71-'3-Balanço'!I71</f>
        <v>0</v>
      </c>
      <c r="I54" s="368">
        <f>'3-Balanço'!K71-'3-Balanço'!J71</f>
        <v>0</v>
      </c>
      <c r="J54" s="368">
        <f>'3-Balanço'!L71-'3-Balanço'!K71</f>
        <v>0</v>
      </c>
      <c r="K54" s="368">
        <f>'3-Balanço'!M71-'3-Balanço'!L71</f>
        <v>0</v>
      </c>
      <c r="L54" s="368">
        <f>'3-Balanço'!N71-'3-Balanço'!M71</f>
        <v>0</v>
      </c>
      <c r="M54" s="368">
        <f>'3-Balanço'!O71-'3-Balanço'!N71</f>
        <v>0</v>
      </c>
      <c r="N54" s="368">
        <f>'3-Balanço'!P71-'3-Balanço'!O71</f>
        <v>0</v>
      </c>
      <c r="O54" s="368">
        <f>'3-Balanço'!Q71-'3-Balanço'!P71</f>
        <v>0</v>
      </c>
    </row>
    <row r="55" spans="1:15">
      <c r="B55" s="66" t="s">
        <v>38</v>
      </c>
      <c r="C55" s="368">
        <f>'3-Balanço'!E72-'3-Balanço'!D72</f>
        <v>0</v>
      </c>
      <c r="D55" s="368">
        <f>'3-Balanço'!F72-'3-Balanço'!E72</f>
        <v>0</v>
      </c>
      <c r="E55" s="368">
        <f>'3-Balanço'!G72-'3-Balanço'!F72</f>
        <v>0</v>
      </c>
      <c r="F55" s="368">
        <f>'3-Balanço'!H72-'3-Balanço'!G72</f>
        <v>0</v>
      </c>
      <c r="G55" s="368">
        <f>'3-Balanço'!I72-'3-Balanço'!H72</f>
        <v>0</v>
      </c>
      <c r="H55" s="368">
        <f>'3-Balanço'!J72-'3-Balanço'!I72</f>
        <v>0</v>
      </c>
      <c r="I55" s="368">
        <f>'3-Balanço'!K72-'3-Balanço'!J72</f>
        <v>0</v>
      </c>
      <c r="J55" s="368">
        <f>'3-Balanço'!L72-'3-Balanço'!K72</f>
        <v>0</v>
      </c>
      <c r="K55" s="368">
        <f>'3-Balanço'!M72-'3-Balanço'!L72</f>
        <v>0</v>
      </c>
      <c r="L55" s="368">
        <f>'3-Balanço'!N72-'3-Balanço'!M72</f>
        <v>0</v>
      </c>
      <c r="M55" s="368">
        <f>'3-Balanço'!O72-'3-Balanço'!N72</f>
        <v>0</v>
      </c>
      <c r="N55" s="368">
        <f>'3-Balanço'!P72-'3-Balanço'!O72</f>
        <v>0</v>
      </c>
      <c r="O55" s="368">
        <f>'3-Balanço'!Q72-'3-Balanço'!P72</f>
        <v>0</v>
      </c>
    </row>
    <row r="56" spans="1:15" ht="13.8" thickBot="1">
      <c r="B56" s="66" t="s">
        <v>39</v>
      </c>
      <c r="C56" s="368"/>
      <c r="D56" s="368"/>
      <c r="E56" s="368"/>
      <c r="F56" s="368"/>
      <c r="G56" s="368"/>
      <c r="H56" s="368"/>
      <c r="I56" s="368"/>
      <c r="J56" s="368"/>
      <c r="K56" s="368"/>
      <c r="L56" s="368"/>
      <c r="M56" s="368"/>
      <c r="N56" s="368"/>
      <c r="O56" s="368"/>
    </row>
    <row r="57" spans="1:15" ht="19.8" thickBot="1">
      <c r="B57" s="13" t="s">
        <v>94</v>
      </c>
      <c r="C57" s="375">
        <f>SUM(C38:C56)</f>
        <v>-1179</v>
      </c>
      <c r="D57" s="375">
        <f t="shared" ref="D57:O57" si="3">SUM(D38:D56)</f>
        <v>-1159.3715823647949</v>
      </c>
      <c r="E57" s="375">
        <f t="shared" si="3"/>
        <v>-855.29628543862145</v>
      </c>
      <c r="F57" s="375">
        <f t="shared" si="3"/>
        <v>-811.68940545035457</v>
      </c>
      <c r="G57" s="375">
        <f t="shared" si="3"/>
        <v>-4917.1079635988945</v>
      </c>
      <c r="H57" s="375">
        <f t="shared" si="3"/>
        <v>-3256.7235645185501</v>
      </c>
      <c r="I57" s="375">
        <f t="shared" si="3"/>
        <v>-3782.5387650159105</v>
      </c>
      <c r="J57" s="375">
        <f t="shared" si="3"/>
        <v>-5255.610149320757</v>
      </c>
      <c r="K57" s="375">
        <f t="shared" si="3"/>
        <v>-6528.1822960780592</v>
      </c>
      <c r="L57" s="375">
        <f t="shared" si="3"/>
        <v>-8870.3835049034096</v>
      </c>
      <c r="M57" s="375">
        <f t="shared" si="3"/>
        <v>-10530.405924412325</v>
      </c>
      <c r="N57" s="375">
        <f t="shared" si="3"/>
        <v>-12481.776220969234</v>
      </c>
      <c r="O57" s="375">
        <f t="shared" si="3"/>
        <v>-14918.008187822392</v>
      </c>
    </row>
    <row r="58" spans="1:15" ht="31.2">
      <c r="A58" s="252"/>
      <c r="B58" s="253" t="s">
        <v>95</v>
      </c>
      <c r="C58" s="376">
        <f t="shared" ref="C58:O58" si="4">C20+C36+C57</f>
        <v>-715.11337538329099</v>
      </c>
      <c r="D58" s="376">
        <f t="shared" si="4"/>
        <v>214.82388971138789</v>
      </c>
      <c r="E58" s="376">
        <f t="shared" si="4"/>
        <v>1542.7529748905422</v>
      </c>
      <c r="F58" s="376">
        <f t="shared" si="4"/>
        <v>2228.2936440376743</v>
      </c>
      <c r="G58" s="376">
        <f t="shared" si="4"/>
        <v>-3369.8939868144398</v>
      </c>
      <c r="H58" s="376">
        <f t="shared" si="4"/>
        <v>-886.66062145738033</v>
      </c>
      <c r="I58" s="376">
        <f t="shared" si="4"/>
        <v>622.47011420467925</v>
      </c>
      <c r="J58" s="376">
        <f t="shared" si="4"/>
        <v>1106.6350792634512</v>
      </c>
      <c r="K58" s="376">
        <f t="shared" si="4"/>
        <v>1859.3443045251479</v>
      </c>
      <c r="L58" s="376">
        <f t="shared" si="4"/>
        <v>1824.6290709724344</v>
      </c>
      <c r="M58" s="376">
        <f t="shared" si="4"/>
        <v>3061.1025832490832</v>
      </c>
      <c r="N58" s="376">
        <f t="shared" si="4"/>
        <v>4525.3651431168364</v>
      </c>
      <c r="O58" s="376">
        <f t="shared" si="4"/>
        <v>6109.9825765784317</v>
      </c>
    </row>
    <row r="59" spans="1:15" ht="13.8" thickBot="1">
      <c r="B59" s="66"/>
      <c r="C59" s="368"/>
      <c r="D59" s="368"/>
      <c r="E59" s="368"/>
      <c r="F59" s="368"/>
      <c r="G59" s="368"/>
      <c r="H59" s="368"/>
      <c r="I59" s="368"/>
      <c r="J59" s="368"/>
      <c r="K59" s="368"/>
      <c r="L59" s="368"/>
      <c r="M59" s="368"/>
      <c r="N59" s="368"/>
      <c r="O59" s="368"/>
    </row>
    <row r="60" spans="1:15" ht="13.8" thickBot="1">
      <c r="B60" s="13" t="s">
        <v>96</v>
      </c>
      <c r="C60" s="375">
        <f>'3-Balanço'!D8</f>
        <v>1249</v>
      </c>
      <c r="D60" s="375">
        <f>'3-Balanço'!E8</f>
        <v>533.88662461670901</v>
      </c>
      <c r="E60" s="375">
        <f>'3-Balanço'!F8</f>
        <v>748.71051432809691</v>
      </c>
      <c r="F60" s="375">
        <f>'3-Balanço'!G8</f>
        <v>2291.4634892186391</v>
      </c>
      <c r="G60" s="375">
        <f>'3-Balanço'!H8</f>
        <v>4519.757133256313</v>
      </c>
      <c r="H60" s="375">
        <f>'3-Balanço'!I8</f>
        <v>1149.8631464418731</v>
      </c>
      <c r="I60" s="375">
        <f>'3-Balanço'!J8</f>
        <v>263.20252498449281</v>
      </c>
      <c r="J60" s="375">
        <f>'3-Balanço'!K8</f>
        <v>885.67263918917206</v>
      </c>
      <c r="K60" s="375">
        <f>'3-Balanço'!L8</f>
        <v>1992.3077184526232</v>
      </c>
      <c r="L60" s="375">
        <f>'3-Balanço'!M8</f>
        <v>3851.6520229777711</v>
      </c>
      <c r="M60" s="375">
        <f>'3-Balanço'!N8</f>
        <v>5676.2810939502051</v>
      </c>
      <c r="N60" s="375">
        <f>'3-Balanço'!O8</f>
        <v>8737.3836771992883</v>
      </c>
      <c r="O60" s="375">
        <f>'3-Balanço'!P8</f>
        <v>13262.748820316125</v>
      </c>
    </row>
    <row r="61" spans="1:15" ht="13.8" thickBot="1">
      <c r="B61" s="13" t="s">
        <v>97</v>
      </c>
      <c r="C61" s="375">
        <f t="shared" ref="C61:O61" si="5">C58+C60</f>
        <v>533.88662461670901</v>
      </c>
      <c r="D61" s="375">
        <f t="shared" si="5"/>
        <v>748.71051432809691</v>
      </c>
      <c r="E61" s="375">
        <f t="shared" si="5"/>
        <v>2291.4634892186391</v>
      </c>
      <c r="F61" s="375">
        <f t="shared" si="5"/>
        <v>4519.757133256313</v>
      </c>
      <c r="G61" s="375">
        <f t="shared" si="5"/>
        <v>1149.8631464418731</v>
      </c>
      <c r="H61" s="375">
        <f t="shared" si="5"/>
        <v>263.20252498449281</v>
      </c>
      <c r="I61" s="375">
        <f t="shared" si="5"/>
        <v>885.67263918917206</v>
      </c>
      <c r="J61" s="375">
        <f t="shared" si="5"/>
        <v>1992.3077184526232</v>
      </c>
      <c r="K61" s="375">
        <f t="shared" si="5"/>
        <v>3851.6520229777711</v>
      </c>
      <c r="L61" s="375">
        <f t="shared" si="5"/>
        <v>5676.2810939502051</v>
      </c>
      <c r="M61" s="375">
        <f t="shared" si="5"/>
        <v>8737.3836771992883</v>
      </c>
      <c r="N61" s="375">
        <f t="shared" si="5"/>
        <v>13262.748820316125</v>
      </c>
      <c r="O61" s="375">
        <f t="shared" si="5"/>
        <v>19372.731396894556</v>
      </c>
    </row>
    <row r="62" spans="1:15">
      <c r="C62" s="102"/>
      <c r="D62" s="102"/>
      <c r="E62" s="102"/>
      <c r="F62" s="102"/>
      <c r="G62" s="102"/>
      <c r="H62" s="102"/>
      <c r="I62" s="102"/>
      <c r="J62" s="102"/>
      <c r="K62" s="102"/>
      <c r="L62" s="102"/>
      <c r="M62" s="102"/>
      <c r="N62" s="102"/>
      <c r="O62" s="102"/>
    </row>
    <row r="63" spans="1:15">
      <c r="C63" s="330">
        <f>ROUND(C61-C60,0)-ROUND(C58,0)</f>
        <v>0</v>
      </c>
      <c r="D63" s="330">
        <f t="shared" ref="D63:O63" si="6">ROUND(D61-D60,0)-ROUND(D58,0)</f>
        <v>0</v>
      </c>
      <c r="E63" s="330">
        <f t="shared" si="6"/>
        <v>0</v>
      </c>
      <c r="F63" s="330">
        <f t="shared" si="6"/>
        <v>0</v>
      </c>
      <c r="G63" s="330">
        <f t="shared" si="6"/>
        <v>0</v>
      </c>
      <c r="H63" s="330">
        <f t="shared" si="6"/>
        <v>0</v>
      </c>
      <c r="I63" s="330">
        <f t="shared" si="6"/>
        <v>0</v>
      </c>
      <c r="J63" s="330">
        <f t="shared" si="6"/>
        <v>0</v>
      </c>
      <c r="K63" s="330">
        <f t="shared" si="6"/>
        <v>0</v>
      </c>
      <c r="L63" s="330">
        <f t="shared" si="6"/>
        <v>0</v>
      </c>
      <c r="M63" s="330">
        <f t="shared" si="6"/>
        <v>0</v>
      </c>
      <c r="N63" s="330">
        <f t="shared" si="6"/>
        <v>0</v>
      </c>
      <c r="O63" s="330">
        <f t="shared" si="6"/>
        <v>0</v>
      </c>
    </row>
  </sheetData>
  <phoneticPr fontId="0" type="noConversion"/>
  <conditionalFormatting sqref="C63:O63">
    <cfRule type="cellIs" dxfId="0" priority="1" stopIfTrue="1" operator="equal">
      <formula>0</formula>
    </cfRule>
  </conditionalFormatting>
  <hyperlinks>
    <hyperlink ref="B1" location="Índice!A1" display="Voltar" xr:uid="{00000000-0004-0000-0700-000000000000}"/>
  </hyperlinks>
  <printOptions horizontalCentered="1"/>
  <pageMargins left="0.15748031496062992" right="0.19685039370078741" top="0.23622047244094491" bottom="0.31496062992125984" header="0.15748031496062992" footer="0.19685039370078741"/>
  <pageSetup paperSize="9" scale="66" orientation="landscape"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indexed="53"/>
  </sheetPr>
  <dimension ref="B1:Q63"/>
  <sheetViews>
    <sheetView showGridLines="0" zoomScale="70" zoomScaleNormal="70" workbookViewId="0">
      <selection activeCell="C1" sqref="C1"/>
    </sheetView>
  </sheetViews>
  <sheetFormatPr defaultColWidth="9.109375" defaultRowHeight="13.8"/>
  <cols>
    <col min="1" max="1" width="3.88671875" style="139" customWidth="1"/>
    <col min="2" max="2" width="3" style="137" customWidth="1"/>
    <col min="3" max="3" width="56.109375" style="137" customWidth="1"/>
    <col min="4" max="6" width="8.6640625" style="138" customWidth="1"/>
    <col min="7" max="17" width="8.6640625" style="139" customWidth="1"/>
    <col min="18" max="16384" width="9.109375" style="139"/>
  </cols>
  <sheetData>
    <row r="1" spans="2:17" ht="22.2" customHeight="1">
      <c r="C1" s="393" t="s">
        <v>353</v>
      </c>
    </row>
    <row r="2" spans="2:17">
      <c r="O2" s="20" t="s">
        <v>352</v>
      </c>
    </row>
    <row r="3" spans="2:17" ht="24">
      <c r="B3" s="403" t="s">
        <v>213</v>
      </c>
      <c r="C3" s="403"/>
      <c r="D3" s="140"/>
      <c r="E3" s="140"/>
      <c r="F3" s="140"/>
      <c r="G3" s="141"/>
      <c r="H3" s="141"/>
      <c r="I3" s="141"/>
      <c r="J3" s="141"/>
    </row>
    <row r="4" spans="2:17" ht="21.6" customHeight="1" thickBot="1">
      <c r="B4" s="142"/>
      <c r="D4" s="387">
        <f>+'3-Balanço'!D5</f>
        <v>42004</v>
      </c>
      <c r="E4" s="387">
        <f>+'3-Balanço'!E5</f>
        <v>42369</v>
      </c>
      <c r="F4" s="387">
        <f>+'3-Balanço'!F5</f>
        <v>42735</v>
      </c>
      <c r="G4" s="387">
        <f>+'3-Balanço'!G5</f>
        <v>43100</v>
      </c>
      <c r="H4" s="387">
        <f>+'3-Balanço'!H5</f>
        <v>43465</v>
      </c>
      <c r="I4" s="387">
        <f>+'3-Balanço'!I5</f>
        <v>43830</v>
      </c>
      <c r="J4" s="387">
        <f>+'3-Balanço'!J5</f>
        <v>44196</v>
      </c>
      <c r="K4" s="387">
        <f>+'3-Balanço'!K5</f>
        <v>44561</v>
      </c>
      <c r="L4" s="387">
        <f>+'3-Balanço'!L5</f>
        <v>44926</v>
      </c>
      <c r="M4" s="387">
        <f>+'3-Balanço'!M5</f>
        <v>45291</v>
      </c>
      <c r="N4" s="387">
        <f>+'3-Balanço'!N5</f>
        <v>45657</v>
      </c>
      <c r="O4" s="387">
        <f>+'3-Balanço'!O5</f>
        <v>46022</v>
      </c>
      <c r="P4" s="387">
        <f>+'3-Balanço'!P5</f>
        <v>46387</v>
      </c>
      <c r="Q4" s="387">
        <f>+'3-Balanço'!Q5</f>
        <v>46752</v>
      </c>
    </row>
    <row r="5" spans="2:17" ht="13.2" customHeight="1">
      <c r="C5" s="144"/>
      <c r="D5" s="145"/>
      <c r="E5" s="145"/>
      <c r="F5" s="145"/>
      <c r="G5" s="145"/>
      <c r="H5" s="145"/>
      <c r="I5" s="145"/>
      <c r="J5" s="145"/>
      <c r="K5" s="145"/>
      <c r="L5" s="145"/>
      <c r="M5" s="145"/>
      <c r="N5" s="145"/>
      <c r="O5" s="145"/>
      <c r="P5" s="145"/>
      <c r="Q5" s="145"/>
    </row>
    <row r="6" spans="2:17" ht="22.95" customHeight="1" thickBot="1">
      <c r="B6" s="139"/>
      <c r="C6" s="146" t="s">
        <v>214</v>
      </c>
      <c r="D6" s="147"/>
      <c r="E6" s="147"/>
      <c r="F6" s="147"/>
      <c r="G6" s="147"/>
      <c r="H6" s="147"/>
      <c r="I6" s="147"/>
      <c r="J6" s="147"/>
      <c r="K6" s="147"/>
      <c r="L6" s="147"/>
      <c r="M6" s="147"/>
      <c r="N6" s="147"/>
      <c r="O6" s="147"/>
      <c r="P6" s="147"/>
      <c r="Q6" s="147"/>
    </row>
    <row r="7" spans="2:17" ht="7.2" customHeight="1">
      <c r="B7" s="139"/>
      <c r="C7" s="148"/>
      <c r="D7" s="145"/>
      <c r="E7" s="145"/>
      <c r="F7" s="145"/>
      <c r="G7" s="145"/>
      <c r="H7" s="145"/>
      <c r="I7" s="145"/>
      <c r="J7" s="145"/>
      <c r="K7" s="145"/>
      <c r="L7" s="145"/>
      <c r="M7" s="145"/>
      <c r="N7" s="145"/>
      <c r="O7" s="145"/>
      <c r="P7" s="145"/>
      <c r="Q7" s="145"/>
    </row>
    <row r="8" spans="2:17" ht="21.6" customHeight="1">
      <c r="B8" s="138"/>
      <c r="C8" s="149" t="s">
        <v>215</v>
      </c>
      <c r="D8" s="241">
        <f>'4-DRE'!B29/'4-DRE'!B22</f>
        <v>0.49404909496652616</v>
      </c>
      <c r="E8" s="241">
        <f>'4-DRE'!C29/'4-DRE'!C22</f>
        <v>0.49573911098908108</v>
      </c>
      <c r="F8" s="241">
        <f>'4-DRE'!D29/'4-DRE'!D22</f>
        <v>0.50685292469075804</v>
      </c>
      <c r="G8" s="241">
        <f>'4-DRE'!E29/'4-DRE'!E22</f>
        <v>0.50686147905418177</v>
      </c>
      <c r="H8" s="241">
        <f>'4-DRE'!F29/'4-DRE'!F22</f>
        <v>0.51137886740543914</v>
      </c>
      <c r="I8" s="241">
        <f>'4-DRE'!G29/'4-DRE'!G22</f>
        <v>0.51519653141465227</v>
      </c>
      <c r="J8" s="241">
        <f>'4-DRE'!H29/'4-DRE'!H22</f>
        <v>0.51836352356334414</v>
      </c>
      <c r="K8" s="241">
        <f>'4-DRE'!I29/'4-DRE'!I22</f>
        <v>0.55624932577990305</v>
      </c>
      <c r="L8" s="241">
        <f>'4-DRE'!J29/'4-DRE'!J22</f>
        <v>0.59113551501785311</v>
      </c>
      <c r="M8" s="241">
        <f>'4-DRE'!K29/'4-DRE'!K22</f>
        <v>0.61430217634330264</v>
      </c>
      <c r="N8" s="241">
        <f>'4-DRE'!L29/'4-DRE'!L22</f>
        <v>0.63612212647764621</v>
      </c>
      <c r="O8" s="241">
        <f>'4-DRE'!M29/'4-DRE'!M22</f>
        <v>0.65667637010131863</v>
      </c>
      <c r="P8" s="241">
        <f>'4-DRE'!N29/'4-DRE'!N22</f>
        <v>0.67604081469811439</v>
      </c>
      <c r="Q8" s="241">
        <f>'4-DRE'!O29/'4-DRE'!O22</f>
        <v>0.69428661069826236</v>
      </c>
    </row>
    <row r="9" spans="2:17" ht="21.6" customHeight="1">
      <c r="B9" s="152"/>
      <c r="C9" s="149" t="s">
        <v>216</v>
      </c>
      <c r="D9" s="153">
        <f>'4-DRE'!B43/'4-DRE'!B22</f>
        <v>0.37230349615670716</v>
      </c>
      <c r="E9" s="153">
        <f>'4-DRE'!C43/'4-DRE'!C22</f>
        <v>0.42231699338655021</v>
      </c>
      <c r="F9" s="153">
        <f>'4-DRE'!D43/'4-DRE'!D22</f>
        <v>0.42289971776955465</v>
      </c>
      <c r="G9" s="153">
        <f>'4-DRE'!E43/'4-DRE'!E22</f>
        <v>0.41959248779956931</v>
      </c>
      <c r="H9" s="153">
        <f>'4-DRE'!F43/'4-DRE'!F22</f>
        <v>0.42707447804363657</v>
      </c>
      <c r="I9" s="153">
        <f>'4-DRE'!G43/'4-DRE'!G22</f>
        <v>0.44647333139482653</v>
      </c>
      <c r="J9" s="153">
        <f>'4-DRE'!H43/'4-DRE'!H22</f>
        <v>0.44325388806188792</v>
      </c>
      <c r="K9" s="153">
        <f>'4-DRE'!I43/'4-DRE'!I22</f>
        <v>0.48118112631895166</v>
      </c>
      <c r="L9" s="153">
        <f>'4-DRE'!J43/'4-DRE'!J22</f>
        <v>0.52309824402653871</v>
      </c>
      <c r="M9" s="153">
        <f>'4-DRE'!K43/'4-DRE'!K22</f>
        <v>0.55514771940032515</v>
      </c>
      <c r="N9" s="153">
        <f>'4-DRE'!L43/'4-DRE'!L22</f>
        <v>0.58654702027443295</v>
      </c>
      <c r="O9" s="153">
        <f>'4-DRE'!M43/'4-DRE'!M22</f>
        <v>0.61638903038955495</v>
      </c>
      <c r="P9" s="153">
        <f>'4-DRE'!N43/'4-DRE'!N22</f>
        <v>0.64582127449383087</v>
      </c>
      <c r="Q9" s="153">
        <f>'4-DRE'!O43/'4-DRE'!O22</f>
        <v>0.67462411434099423</v>
      </c>
    </row>
    <row r="10" spans="2:17" ht="21.6" customHeight="1">
      <c r="B10" s="152"/>
      <c r="C10" s="149" t="s">
        <v>217</v>
      </c>
      <c r="D10" s="150">
        <f>'4-DRE'!B53/'4-DRE'!B22</f>
        <v>0.31899330523183733</v>
      </c>
      <c r="E10" s="150">
        <f>'4-DRE'!C53/'4-DRE'!C22</f>
        <v>0.31706039336184544</v>
      </c>
      <c r="F10" s="150">
        <f>'4-DRE'!D53/'4-DRE'!D22</f>
        <v>0.27939370914296779</v>
      </c>
      <c r="G10" s="150">
        <f>'4-DRE'!E53/'4-DRE'!E22</f>
        <v>0.2771738494816377</v>
      </c>
      <c r="H10" s="150">
        <f>'4-DRE'!F53/'4-DRE'!F22</f>
        <v>0.28207978953621454</v>
      </c>
      <c r="I10" s="150">
        <f>'4-DRE'!G53/'4-DRE'!G22</f>
        <v>0.29485512243095874</v>
      </c>
      <c r="J10" s="150">
        <f>'4-DRE'!H53/'4-DRE'!H22</f>
        <v>0.29270607780455837</v>
      </c>
      <c r="K10" s="150">
        <f>'4-DRE'!I53/'4-DRE'!I22</f>
        <v>0.31771705127149147</v>
      </c>
      <c r="L10" s="150">
        <f>'4-DRE'!J53/'4-DRE'!J22</f>
        <v>0.34536412830745211</v>
      </c>
      <c r="M10" s="150">
        <f>'4-DRE'!K53/'4-DRE'!K22</f>
        <v>0.36650097575255042</v>
      </c>
      <c r="N10" s="150">
        <f>'4-DRE'!L53/'4-DRE'!L22</f>
        <v>0.38721080246100792</v>
      </c>
      <c r="O10" s="150">
        <f>'4-DRE'!M53/'4-DRE'!M22</f>
        <v>0.40689463417627975</v>
      </c>
      <c r="P10" s="150">
        <f>'4-DRE'!N53/'4-DRE'!N22</f>
        <v>0.42630959648057576</v>
      </c>
      <c r="Q10" s="150">
        <f>'4-DRE'!O53/'4-DRE'!O22</f>
        <v>0.44531051928087523</v>
      </c>
    </row>
    <row r="11" spans="2:17" ht="21.6" customHeight="1">
      <c r="B11" s="152"/>
      <c r="C11" s="149" t="s">
        <v>218</v>
      </c>
      <c r="D11" s="154">
        <f>'4-DRE'!B35</f>
        <v>3522</v>
      </c>
      <c r="E11" s="154">
        <f>'4-DRE'!C35</f>
        <v>4275.7766879321362</v>
      </c>
      <c r="F11" s="154">
        <f>'4-DRE'!D35</f>
        <v>5057.5989207595776</v>
      </c>
      <c r="G11" s="154">
        <f>'4-DRE'!E35</f>
        <v>5806.7600242112821</v>
      </c>
      <c r="H11" s="154">
        <f>'4-DRE'!F35</f>
        <v>6668.3270875430126</v>
      </c>
      <c r="I11" s="154">
        <f>'4-DRE'!G35</f>
        <v>7828.310054314702</v>
      </c>
      <c r="J11" s="154">
        <f>'4-DRE'!H35</f>
        <v>9274.260405038116</v>
      </c>
      <c r="K11" s="154">
        <f>'4-DRE'!I35</f>
        <v>11685.350792921658</v>
      </c>
      <c r="L11" s="154">
        <f>'4-DRE'!J35</f>
        <v>14493.674124443509</v>
      </c>
      <c r="M11" s="154">
        <f>'4-DRE'!K35</f>
        <v>17503.858780746821</v>
      </c>
      <c r="N11" s="154">
        <f>'4-DRE'!L35</f>
        <v>21010.621112049772</v>
      </c>
      <c r="O11" s="154">
        <f>'4-DRE'!M35</f>
        <v>25095.458359625649</v>
      </c>
      <c r="P11" s="154">
        <f>'4-DRE'!N35</f>
        <v>29852.816947993186</v>
      </c>
      <c r="Q11" s="154">
        <f>'4-DRE'!O35</f>
        <v>35392.11560568172</v>
      </c>
    </row>
    <row r="12" spans="2:17" ht="21.6" customHeight="1">
      <c r="B12" s="152"/>
      <c r="C12" s="149" t="s">
        <v>219</v>
      </c>
      <c r="D12" s="150">
        <f>D11/'4-DRE'!B22</f>
        <v>0.43664765683114309</v>
      </c>
      <c r="E12" s="150">
        <f>E11/'4-DRE'!C22</f>
        <v>0.45985739110693175</v>
      </c>
      <c r="F12" s="150">
        <f>F11/'4-DRE'!D22</f>
        <v>0.47186624971391566</v>
      </c>
      <c r="G12" s="150">
        <f>G11/'4-DRE'!E22</f>
        <v>0.46997502718517403</v>
      </c>
      <c r="H12" s="150">
        <f>H11/'4-DRE'!F22</f>
        <v>0.46819219685524316</v>
      </c>
      <c r="I12" s="150">
        <f>I11/'4-DRE'!G22</f>
        <v>0.47680595302560247</v>
      </c>
      <c r="J12" s="150">
        <f>J11/'4-DRE'!H22</f>
        <v>0.49002621066322666</v>
      </c>
      <c r="K12" s="150">
        <f>K11/'4-DRE'!I22</f>
        <v>0.53560935326326331</v>
      </c>
      <c r="L12" s="150">
        <f>L11/'4-DRE'!J22</f>
        <v>0.57630350926071394</v>
      </c>
      <c r="M12" s="150">
        <f>M11/'4-DRE'!K22</f>
        <v>0.60377196872278316</v>
      </c>
      <c r="N12" s="150">
        <f>N11/'4-DRE'!L22</f>
        <v>0.62870137499399903</v>
      </c>
      <c r="O12" s="150">
        <f>O11/'4-DRE'!M22</f>
        <v>0.65142890500390538</v>
      </c>
      <c r="P12" s="150">
        <f>P11/'4-DRE'!N22</f>
        <v>0.67223881401135899</v>
      </c>
      <c r="Q12" s="150">
        <f>Q11/'4-DRE'!O22</f>
        <v>0.69137100813373531</v>
      </c>
    </row>
    <row r="13" spans="2:17" ht="21.6" customHeight="1">
      <c r="B13" s="152"/>
      <c r="C13" s="149" t="s">
        <v>220</v>
      </c>
      <c r="D13" s="155">
        <f>D10*D38</f>
        <v>0.23517045973859793</v>
      </c>
      <c r="E13" s="155">
        <f>E10*E38</f>
        <v>0.21895968773281274</v>
      </c>
      <c r="F13" s="155">
        <f>F10*F38</f>
        <v>0.19677940982396624</v>
      </c>
      <c r="G13" s="155">
        <f t="shared" ref="G13:Q13" si="0">G10*G38</f>
        <v>0.20892079881694045</v>
      </c>
      <c r="H13" s="155">
        <f t="shared" si="0"/>
        <v>0.22926629398935822</v>
      </c>
      <c r="I13" s="155">
        <f t="shared" si="0"/>
        <v>0.23056695639803351</v>
      </c>
      <c r="J13" s="155">
        <f t="shared" si="0"/>
        <v>0.2273093666052525</v>
      </c>
      <c r="K13" s="155">
        <f t="shared" si="0"/>
        <v>0.25677474127870287</v>
      </c>
      <c r="L13" s="155">
        <f t="shared" si="0"/>
        <v>0.295033689362176</v>
      </c>
      <c r="M13" s="155">
        <f t="shared" si="0"/>
        <v>0.33355771872397549</v>
      </c>
      <c r="N13" s="155">
        <f t="shared" si="0"/>
        <v>0.37742233635760358</v>
      </c>
      <c r="O13" s="155">
        <f t="shared" si="0"/>
        <v>0.42859932125763456</v>
      </c>
      <c r="P13" s="155">
        <f t="shared" si="0"/>
        <v>0.48894555594818462</v>
      </c>
      <c r="Q13" s="155">
        <f t="shared" si="0"/>
        <v>0.55969503397295883</v>
      </c>
    </row>
    <row r="14" spans="2:17" ht="21.6" customHeight="1">
      <c r="B14" s="152"/>
      <c r="C14" s="149" t="s">
        <v>221</v>
      </c>
      <c r="D14" s="151">
        <f>'4-DRE'!B53/((('3-Balanço'!D74-'4-DRE'!B53)+'3-Balanço'!C74)/2)</f>
        <v>0.53040610183467329</v>
      </c>
      <c r="E14" s="151">
        <f>'4-DRE'!C53/((('3-Balanço'!E74-'4-DRE'!C53)+'3-Balanço'!D74)/2)</f>
        <v>0.43689276643764069</v>
      </c>
      <c r="F14" s="151">
        <f>'4-DRE'!D53/((('3-Balanço'!F74-'4-DRE'!D53)+'3-Balanço'!E74)/2)</f>
        <v>0.36012397479246588</v>
      </c>
      <c r="G14" s="151">
        <f>'4-DRE'!E53/((('3-Balanço'!G74-'4-DRE'!E53)+'3-Balanço'!F74)/2)</f>
        <v>0.34857914559447106</v>
      </c>
      <c r="H14" s="151">
        <f>'4-DRE'!F53/((('3-Balanço'!H74-'4-DRE'!F53)+'3-Balanço'!G74)/2)</f>
        <v>0.34502583577798185</v>
      </c>
      <c r="I14" s="151">
        <f>'4-DRE'!G53/((('3-Balanço'!I74-'4-DRE'!G53)+'3-Balanço'!H74)/2)</f>
        <v>0.36400880294124499</v>
      </c>
      <c r="J14" s="151">
        <f>'4-DRE'!H53/((('3-Balanço'!J74-'4-DRE'!H53)+'3-Balanço'!I74)/2)</f>
        <v>0.37385007552278054</v>
      </c>
      <c r="K14" s="151">
        <f>'4-DRE'!I53/((('3-Balanço'!K74-'4-DRE'!I53)+'3-Balanço'!J74)/2)</f>
        <v>0.42098700953158613</v>
      </c>
      <c r="L14" s="151">
        <f>'4-DRE'!J53/((('3-Balanço'!L74-'4-DRE'!J53)+'3-Balanço'!K74)/2)</f>
        <v>0.4639797338489563</v>
      </c>
      <c r="M14" s="151">
        <f>'4-DRE'!K53/((('3-Balanço'!M74-'4-DRE'!K53)+'3-Balanço'!L74)/2)</f>
        <v>0.49306605348946791</v>
      </c>
      <c r="N14" s="151">
        <f>'4-DRE'!L53/((('3-Balanço'!N74-'4-DRE'!L53)+'3-Balanço'!M74)/2)</f>
        <v>0.51900453790029466</v>
      </c>
      <c r="O14" s="151">
        <f>'4-DRE'!M53/((('3-Balanço'!O74-'4-DRE'!M53)+'3-Balanço'!N74)/2)</f>
        <v>0.53985044162002682</v>
      </c>
      <c r="P14" s="151">
        <f>'4-DRE'!N53/((('3-Balanço'!P74-'4-DRE'!N53)+'3-Balanço'!O74)/2)</f>
        <v>0.55713340179721771</v>
      </c>
      <c r="Q14" s="151">
        <f>'4-DRE'!O53/((('3-Balanço'!Q74-'4-DRE'!O53)+'3-Balanço'!P74)/2)</f>
        <v>0.57083555926490526</v>
      </c>
    </row>
    <row r="15" spans="2:17" ht="21.6" customHeight="1">
      <c r="B15" s="152"/>
      <c r="C15" s="149" t="s">
        <v>222</v>
      </c>
      <c r="D15" s="154"/>
      <c r="E15" s="154">
        <f>'5-FC'!C58</f>
        <v>-715.11337538329099</v>
      </c>
      <c r="F15" s="154">
        <f>'5-FC'!D58</f>
        <v>214.82388971138789</v>
      </c>
      <c r="G15" s="154">
        <f>'5-FC'!E58</f>
        <v>1542.7529748905422</v>
      </c>
      <c r="H15" s="154">
        <f>'5-FC'!F58</f>
        <v>2228.2936440376743</v>
      </c>
      <c r="I15" s="154">
        <f>'5-FC'!G58</f>
        <v>-3369.8939868144398</v>
      </c>
      <c r="J15" s="154">
        <f>'5-FC'!H58</f>
        <v>-886.66062145738033</v>
      </c>
      <c r="K15" s="154">
        <f>'5-FC'!I58</f>
        <v>622.47011420467925</v>
      </c>
      <c r="L15" s="154">
        <f>'5-FC'!J58</f>
        <v>1106.6350792634512</v>
      </c>
      <c r="M15" s="154">
        <f>'5-FC'!K58</f>
        <v>1859.3443045251479</v>
      </c>
      <c r="N15" s="154">
        <f>'5-FC'!L58</f>
        <v>1824.6290709724344</v>
      </c>
      <c r="O15" s="154">
        <f>'5-FC'!M58</f>
        <v>3061.1025832490832</v>
      </c>
      <c r="P15" s="154">
        <f>'5-FC'!N58</f>
        <v>4525.3651431168364</v>
      </c>
      <c r="Q15" s="154">
        <f>'5-FC'!O58</f>
        <v>6109.9825765784317</v>
      </c>
    </row>
    <row r="16" spans="2:17" ht="21.6" customHeight="1">
      <c r="B16" s="152"/>
      <c r="C16" s="149" t="s">
        <v>223</v>
      </c>
      <c r="D16" s="150">
        <f>D15/'4-DRE'!B22</f>
        <v>0</v>
      </c>
      <c r="E16" s="150">
        <f>E15/'4-DRE'!C22</f>
        <v>-7.6910043519712354E-2</v>
      </c>
      <c r="F16" s="150">
        <f>F15/'4-DRE'!D22</f>
        <v>2.0042740591981228E-2</v>
      </c>
      <c r="G16" s="150">
        <f>G15/'4-DRE'!E22</f>
        <v>0.12486401509466084</v>
      </c>
      <c r="H16" s="150">
        <f>H15/'4-DRE'!F22</f>
        <v>0.15645148816852253</v>
      </c>
      <c r="I16" s="150">
        <f>I15/'4-DRE'!G22</f>
        <v>-0.20525317761177583</v>
      </c>
      <c r="J16" s="150">
        <f>J15/'4-DRE'!H22</f>
        <v>-4.6848689329559108E-2</v>
      </c>
      <c r="K16" s="150">
        <f>K15/'4-DRE'!I22</f>
        <v>2.8531519609735101E-2</v>
      </c>
      <c r="L16" s="150">
        <f>L15/'4-DRE'!J22</f>
        <v>4.4002485096236575E-2</v>
      </c>
      <c r="M16" s="150">
        <f>M15/'4-DRE'!K22</f>
        <v>6.413557063837011E-2</v>
      </c>
      <c r="N16" s="150">
        <f>N15/'4-DRE'!L22</f>
        <v>5.4598424275829421E-2</v>
      </c>
      <c r="O16" s="150">
        <f>O15/'4-DRE'!M22</f>
        <v>7.9460222456774546E-2</v>
      </c>
      <c r="P16" s="150">
        <f>P15/'4-DRE'!N22</f>
        <v>0.10190415537927011</v>
      </c>
      <c r="Q16" s="150">
        <f>Q15/'4-DRE'!O22</f>
        <v>0.11935609785842924</v>
      </c>
    </row>
    <row r="17" spans="2:17" ht="11.25" customHeight="1">
      <c r="B17" s="152"/>
      <c r="C17" s="139"/>
      <c r="D17" s="139"/>
      <c r="E17" s="139"/>
      <c r="F17" s="139"/>
    </row>
    <row r="18" spans="2:17" ht="21.6" customHeight="1" thickBot="1">
      <c r="C18" s="146" t="s">
        <v>224</v>
      </c>
      <c r="D18" s="156"/>
      <c r="E18" s="156"/>
      <c r="F18" s="156"/>
      <c r="G18" s="156"/>
      <c r="H18" s="156"/>
      <c r="I18" s="156"/>
      <c r="J18" s="156"/>
      <c r="K18" s="156"/>
      <c r="L18" s="156"/>
      <c r="M18" s="156"/>
      <c r="N18" s="156"/>
      <c r="O18" s="156"/>
      <c r="P18" s="156"/>
      <c r="Q18" s="156"/>
    </row>
    <row r="19" spans="2:17" ht="6.6" customHeight="1">
      <c r="C19" s="148"/>
      <c r="D19" s="157"/>
      <c r="E19" s="157"/>
      <c r="F19" s="157"/>
      <c r="G19" s="157"/>
      <c r="H19" s="157"/>
      <c r="I19" s="157"/>
      <c r="J19" s="157"/>
      <c r="K19" s="157"/>
      <c r="L19" s="157"/>
      <c r="M19" s="157"/>
      <c r="N19" s="157"/>
      <c r="O19" s="157"/>
      <c r="P19" s="157"/>
      <c r="Q19" s="157"/>
    </row>
    <row r="20" spans="2:17" ht="21.6" customHeight="1">
      <c r="B20" s="139"/>
      <c r="C20" s="158" t="s">
        <v>225</v>
      </c>
      <c r="D20" s="159">
        <f>'3-Balanço'!D51/'3-Balanço'!D76</f>
        <v>0.15622017181037226</v>
      </c>
      <c r="E20" s="159">
        <f>'3-Balanço'!E51/'3-Balanço'!E76</f>
        <v>0.13614907599002316</v>
      </c>
      <c r="F20" s="159">
        <f>'3-Balanço'!F51/'3-Balanço'!F76</f>
        <v>0.1194644419460008</v>
      </c>
      <c r="G20" s="159">
        <f>'3-Balanço'!G51/'3-Balanço'!G76</f>
        <v>0.10895744179625415</v>
      </c>
      <c r="H20" s="159">
        <f>'3-Balanço'!H51/'3-Balanço'!H76</f>
        <v>0.15880153933339292</v>
      </c>
      <c r="I20" s="159">
        <f>'3-Balanço'!I51/'3-Balanço'!I76</f>
        <v>0.1201801950483168</v>
      </c>
      <c r="J20" s="159">
        <f>'3-Balanço'!J51/'3-Balanço'!J76</f>
        <v>0.119769522856602</v>
      </c>
      <c r="K20" s="159">
        <f>'3-Balanço'!K51/'3-Balanço'!K76</f>
        <v>0.11048572863314225</v>
      </c>
      <c r="L20" s="159">
        <f>'3-Balanço'!L51/'3-Balanço'!L76</f>
        <v>0.1040530158852393</v>
      </c>
      <c r="M20" s="159">
        <f>'3-Balanço'!M51/'3-Balanço'!M76</f>
        <v>9.8299056104308405E-2</v>
      </c>
      <c r="N20" s="159">
        <f>'3-Balanço'!N51/'3-Balanço'!N76</f>
        <v>9.1329583294463168E-2</v>
      </c>
      <c r="O20" s="159">
        <f>'3-Balanço'!O51/'3-Balanço'!O76</f>
        <v>8.3564743176432851E-2</v>
      </c>
      <c r="P20" s="159">
        <f>'3-Balanço'!P51/'3-Balanço'!P76</f>
        <v>7.7518752936139135E-2</v>
      </c>
      <c r="Q20" s="159">
        <f>'3-Balanço'!Q51/'3-Balanço'!Q76</f>
        <v>6.790719540969456E-2</v>
      </c>
    </row>
    <row r="21" spans="2:17" ht="21.6" customHeight="1">
      <c r="B21" s="152"/>
      <c r="C21" s="158" t="s">
        <v>226</v>
      </c>
      <c r="D21" s="160">
        <f>('3-Balanço'!D46+'3-Balanço'!D47+'3-Balanço'!D48)/'3-Balanço'!D76</f>
        <v>5.4470251352211264E-2</v>
      </c>
      <c r="E21" s="160">
        <f>('3-Balanço'!E46+'3-Balanço'!E47+'3-Balanço'!E48)/'3-Balanço'!E76</f>
        <v>4.2687365301637206E-2</v>
      </c>
      <c r="F21" s="160">
        <f>('3-Balanço'!F46+'3-Balanço'!F47+'3-Balanço'!F48)/'3-Balanço'!F76</f>
        <v>2.8576000705752225E-2</v>
      </c>
      <c r="G21" s="160">
        <f>('3-Balanço'!G46+'3-Balanço'!G47+'3-Balanço'!G48)/'3-Balanço'!G76</f>
        <v>2.2559054370580235E-2</v>
      </c>
      <c r="H21" s="160">
        <f>('3-Balanço'!H46+'3-Balanço'!H47+'3-Balanço'!H48)/'3-Balanço'!H76</f>
        <v>7.7728747963679318E-2</v>
      </c>
      <c r="I21" s="160">
        <f>('3-Balanço'!I46+'3-Balanço'!I47+'3-Balanço'!I48)/'3-Balanço'!I76</f>
        <v>3.2472527485756596E-2</v>
      </c>
      <c r="J21" s="160">
        <f>('3-Balanço'!J46+'3-Balanço'!J47+'3-Balanço'!J48)/'3-Balanço'!J76</f>
        <v>3.2522160785574274E-2</v>
      </c>
      <c r="K21" s="160">
        <f>('3-Balanço'!K46+'3-Balanço'!K47+'3-Balanço'!K48)/'3-Balanço'!K76</f>
        <v>2.9160424039123906E-2</v>
      </c>
      <c r="L21" s="160">
        <f>('3-Balanço'!L46+'3-Balanço'!L47+'3-Balanço'!L48)/'3-Balanço'!L76</f>
        <v>2.751954645424385E-2</v>
      </c>
      <c r="M21" s="160">
        <f>('3-Balanço'!M46+'3-Balanço'!M47+'3-Balanço'!M48)/'3-Balanço'!M76</f>
        <v>2.5597282602188409E-2</v>
      </c>
      <c r="N21" s="160">
        <f>('3-Balanço'!N46+'3-Balanço'!N47+'3-Balanço'!N48)/'3-Balanço'!N76</f>
        <v>2.1454645277247116E-2</v>
      </c>
      <c r="O21" s="160">
        <f>('3-Balanço'!O46+'3-Balanço'!O47+'3-Balanço'!O48)/'3-Balanço'!O76</f>
        <v>1.7176129731252578E-2</v>
      </c>
      <c r="P21" s="160">
        <f>('3-Balanço'!P46+'3-Balanço'!P47+'3-Balanço'!P48)/'3-Balanço'!P76</f>
        <v>1.5111622354170301E-2</v>
      </c>
      <c r="Q21" s="160">
        <f>('3-Balanço'!Q46+'3-Balanço'!Q47+'3-Balanço'!Q48)/'3-Balanço'!Q76</f>
        <v>9.6594177639194954E-3</v>
      </c>
    </row>
    <row r="22" spans="2:17" ht="21.6" customHeight="1">
      <c r="B22" s="152"/>
      <c r="C22" s="158" t="s">
        <v>227</v>
      </c>
      <c r="D22" s="159">
        <f>('3-Balanço'!D60+'3-Balanço'!D62)/'3-Balanço'!D76</f>
        <v>0.37346484250715878</v>
      </c>
      <c r="E22" s="159">
        <f>('3-Balanço'!E60+'3-Balanço'!E62)/'3-Balanço'!E76</f>
        <v>0.34723432376712782</v>
      </c>
      <c r="F22" s="159">
        <f>('3-Balanço'!F60+'3-Balanço'!F62)/'3-Balanço'!F76</f>
        <v>0.33809718321546323</v>
      </c>
      <c r="G22" s="159">
        <f>('3-Balanço'!G60+'3-Balanço'!G62)/'3-Balanço'!G76</f>
        <v>0.32817187723904173</v>
      </c>
      <c r="H22" s="159">
        <f>('3-Balanço'!H60+'3-Balanço'!H62)/'3-Balanço'!H76</f>
        <v>0.26213531366102794</v>
      </c>
      <c r="I22" s="159">
        <f>('3-Balanço'!I60+'3-Balanço'!I62)/'3-Balanço'!I76</f>
        <v>0.23186770044024102</v>
      </c>
      <c r="J22" s="159">
        <f>('3-Balanço'!J60+'3-Balanço'!J62)/'3-Balanço'!J76</f>
        <v>0.22174181735086421</v>
      </c>
      <c r="K22" s="159">
        <f>('3-Balanço'!K60+'3-Balanço'!K62)/'3-Balanço'!K76</f>
        <v>0.21067512184783713</v>
      </c>
      <c r="L22" s="159">
        <f>('3-Balanço'!L60+'3-Balanço'!L62)/'3-Balanço'!L76</f>
        <v>0.18632253659492498</v>
      </c>
      <c r="M22" s="159">
        <f>('3-Balanço'!M60+'3-Balanço'!M62)/'3-Balanço'!M76</f>
        <v>0.1645944208546086</v>
      </c>
      <c r="N22" s="159">
        <f>('3-Balanço'!N60+'3-Balanço'!N62)/'3-Balanço'!N76</f>
        <v>0.12939139345138986</v>
      </c>
      <c r="O22" s="159">
        <f>('3-Balanço'!O60+'3-Balanço'!O62)/'3-Balanço'!O76</f>
        <v>0.10025183719344796</v>
      </c>
      <c r="P22" s="159">
        <f>('3-Balanço'!P60+'3-Balanço'!P62)/'3-Balanço'!P76</f>
        <v>7.5132256974703007E-2</v>
      </c>
      <c r="Q22" s="159">
        <f>('3-Balanço'!Q60+'3-Balanço'!Q62)/'3-Balanço'!Q76</f>
        <v>5.7762222956107806E-2</v>
      </c>
    </row>
    <row r="23" spans="2:17" ht="21.6" customHeight="1">
      <c r="B23" s="152"/>
      <c r="C23" s="158" t="s">
        <v>228</v>
      </c>
      <c r="D23" s="160">
        <f>('3-Balanço'!D55+'3-Balanço'!D56)/'3-Balanço'!D76</f>
        <v>0.20566337893732103</v>
      </c>
      <c r="E23" s="160">
        <f>('3-Balanço'!E55+'3-Balanço'!E56)/'3-Balanço'!E76</f>
        <v>0.19551726406872871</v>
      </c>
      <c r="F23" s="160">
        <f>('3-Balanço'!F55+'3-Balanço'!F56)/'3-Balanço'!F76</f>
        <v>0.20049373565184864</v>
      </c>
      <c r="G23" s="160">
        <f>('3-Balanço'!G55+'3-Balanço'!G56)/'3-Balanço'!G76</f>
        <v>0.20622848107237021</v>
      </c>
      <c r="H23" s="160">
        <f>('3-Balanço'!H55+'3-Balanço'!H56)/'3-Balanço'!H76</f>
        <v>0.15509767682638959</v>
      </c>
      <c r="I23" s="160">
        <f>('3-Balanço'!I55+'3-Balanço'!I56)/'3-Balanço'!I76</f>
        <v>0.12403134298782269</v>
      </c>
      <c r="J23" s="160">
        <f>('3-Balanço'!J55+'3-Balanço'!J56)/'3-Balanço'!J76</f>
        <v>0.12220491340392901</v>
      </c>
      <c r="K23" s="160">
        <f>('3-Balanço'!K55+'3-Balanço'!K56)/'3-Balanço'!K76</f>
        <v>0.12021430980269535</v>
      </c>
      <c r="L23" s="160">
        <f>('3-Balanço'!L55+'3-Balanço'!L56)/'3-Balanço'!L76</f>
        <v>0.10385339027805288</v>
      </c>
      <c r="M23" s="160">
        <f>('3-Balanço'!M55+'3-Balanço'!M56)/'3-Balanço'!M76</f>
        <v>8.9934607127107283E-2</v>
      </c>
      <c r="N23" s="160">
        <f>('3-Balanço'!N55+'3-Balanço'!N56)/'3-Balanço'!N76</f>
        <v>6.0873244349333937E-2</v>
      </c>
      <c r="O23" s="160">
        <f>('3-Balanço'!O55+'3-Balanço'!O56)/'3-Balanço'!O76</f>
        <v>3.809545988557736E-2</v>
      </c>
      <c r="P23" s="160">
        <f>('3-Balanço'!P55+'3-Balanço'!P56)/'3-Balanço'!P76</f>
        <v>1.9341723604479288E-2</v>
      </c>
      <c r="Q23" s="160">
        <f>('3-Balanço'!Q55+'3-Balanço'!Q56)/'3-Balanço'!Q76</f>
        <v>8.0311787786574301E-3</v>
      </c>
    </row>
    <row r="24" spans="2:17" ht="21.6" customHeight="1">
      <c r="B24" s="152"/>
      <c r="C24" s="158" t="s">
        <v>229</v>
      </c>
      <c r="D24" s="159">
        <f>D21+D23</f>
        <v>0.26013363028953229</v>
      </c>
      <c r="E24" s="159">
        <f t="shared" ref="E24:Q24" si="1">E21+E23</f>
        <v>0.23820462937036591</v>
      </c>
      <c r="F24" s="159">
        <f t="shared" si="1"/>
        <v>0.22906973635760086</v>
      </c>
      <c r="G24" s="159">
        <f t="shared" si="1"/>
        <v>0.22878753544295044</v>
      </c>
      <c r="H24" s="159">
        <f t="shared" si="1"/>
        <v>0.2328264247900689</v>
      </c>
      <c r="I24" s="159">
        <f t="shared" si="1"/>
        <v>0.15650387047357928</v>
      </c>
      <c r="J24" s="159">
        <f t="shared" si="1"/>
        <v>0.15472707418950329</v>
      </c>
      <c r="K24" s="159">
        <f t="shared" si="1"/>
        <v>0.14937473384181926</v>
      </c>
      <c r="L24" s="159">
        <f t="shared" si="1"/>
        <v>0.13137293673229672</v>
      </c>
      <c r="M24" s="159">
        <f t="shared" si="1"/>
        <v>0.11553188972929569</v>
      </c>
      <c r="N24" s="159">
        <f t="shared" si="1"/>
        <v>8.2327889626581052E-2</v>
      </c>
      <c r="O24" s="159">
        <f t="shared" si="1"/>
        <v>5.5271589616829937E-2</v>
      </c>
      <c r="P24" s="159">
        <f t="shared" si="1"/>
        <v>3.4453345958649587E-2</v>
      </c>
      <c r="Q24" s="159">
        <f t="shared" si="1"/>
        <v>1.7690596542576924E-2</v>
      </c>
    </row>
    <row r="25" spans="2:17" ht="21.6" customHeight="1">
      <c r="B25" s="152"/>
      <c r="C25" s="158" t="s">
        <v>230</v>
      </c>
      <c r="D25" s="160">
        <f>('3-Balanço'!D51+'3-Balanço'!D60+'3-Balanço'!D62)/'3-Balanço'!D76</f>
        <v>0.52968501431753101</v>
      </c>
      <c r="E25" s="160">
        <f>('3-Balanço'!E51+'3-Balanço'!E60+'3-Balanço'!E62)/'3-Balanço'!E76</f>
        <v>0.483383399757151</v>
      </c>
      <c r="F25" s="160">
        <f>('3-Balanço'!F51+'3-Balanço'!F60+'3-Balanço'!F62)/'3-Balanço'!F76</f>
        <v>0.45756162516146404</v>
      </c>
      <c r="G25" s="160">
        <f>('3-Balanço'!G51+'3-Balanço'!G60+'3-Balanço'!G62)/'3-Balanço'!G76</f>
        <v>0.43712931903529584</v>
      </c>
      <c r="H25" s="160">
        <f>('3-Balanço'!H51+'3-Balanço'!H60+'3-Balanço'!H62)/'3-Balanço'!H76</f>
        <v>0.42093685299442085</v>
      </c>
      <c r="I25" s="160">
        <f>('3-Balanço'!I51+'3-Balanço'!I60+'3-Balanço'!I62)/'3-Balanço'!I76</f>
        <v>0.3520478954885578</v>
      </c>
      <c r="J25" s="160">
        <f>('3-Balanço'!J51+'3-Balanço'!J60+'3-Balanço'!J62)/'3-Balanço'!J76</f>
        <v>0.34151134020746615</v>
      </c>
      <c r="K25" s="160">
        <f>('3-Balanço'!K51+'3-Balanço'!K60+'3-Balanço'!K62)/'3-Balanço'!K76</f>
        <v>0.32116085048097937</v>
      </c>
      <c r="L25" s="160">
        <f>('3-Balanço'!L51+'3-Balanço'!L60+'3-Balanço'!L62)/'3-Balanço'!L76</f>
        <v>0.29037555248016422</v>
      </c>
      <c r="M25" s="160">
        <f>('3-Balanço'!M51+'3-Balanço'!M60+'3-Balanço'!M62)/'3-Balanço'!M76</f>
        <v>0.26289347695891702</v>
      </c>
      <c r="N25" s="160">
        <f>('3-Balanço'!N51+'3-Balanço'!N60+'3-Balanço'!N62)/'3-Balanço'!N76</f>
        <v>0.22072097674585303</v>
      </c>
      <c r="O25" s="160">
        <f>('3-Balanço'!O51+'3-Balanço'!O60+'3-Balanço'!O62)/'3-Balanço'!O76</f>
        <v>0.1838165803698808</v>
      </c>
      <c r="P25" s="160">
        <f>('3-Balanço'!P51+'3-Balanço'!P60+'3-Balanço'!P62)/'3-Balanço'!P76</f>
        <v>0.15265100991084216</v>
      </c>
      <c r="Q25" s="160">
        <f>('3-Balanço'!Q51+'3-Balanço'!Q60+'3-Balanço'!Q62)/'3-Balanço'!Q76</f>
        <v>0.12566941836580237</v>
      </c>
    </row>
    <row r="26" spans="2:17" ht="21.6" customHeight="1">
      <c r="B26" s="152"/>
      <c r="C26" s="158" t="s">
        <v>231</v>
      </c>
      <c r="D26" s="159">
        <f>'3-Balanço'!D74/'3-Balanço'!D76</f>
        <v>0.47031498568246899</v>
      </c>
      <c r="E26" s="159">
        <f>'3-Balanço'!E74/'3-Balanço'!E76</f>
        <v>0.51661660024284894</v>
      </c>
      <c r="F26" s="159">
        <f>'3-Balanço'!F74/'3-Balanço'!F76</f>
        <v>0.54243837483853585</v>
      </c>
      <c r="G26" s="159">
        <f>'3-Balanço'!G74/'3-Balanço'!G76</f>
        <v>0.56287068096470405</v>
      </c>
      <c r="H26" s="159">
        <f>'3-Balanço'!H74/'3-Balanço'!H76</f>
        <v>0.57906314700557915</v>
      </c>
      <c r="I26" s="159">
        <f>'3-Balanço'!I74/'3-Balanço'!I76</f>
        <v>0.64795210451144214</v>
      </c>
      <c r="J26" s="159">
        <f>'3-Balanço'!J74/'3-Balanço'!J76</f>
        <v>0.65848865979253379</v>
      </c>
      <c r="K26" s="159">
        <f>'3-Balanço'!K74/'3-Balanço'!K76</f>
        <v>0.67883914951902058</v>
      </c>
      <c r="L26" s="159">
        <f>'3-Balanço'!L74/'3-Balanço'!L76</f>
        <v>0.70962444751983567</v>
      </c>
      <c r="M26" s="159">
        <f>'3-Balanço'!M74/'3-Balanço'!M76</f>
        <v>0.73710652304108293</v>
      </c>
      <c r="N26" s="159">
        <f>'3-Balanço'!N74/'3-Balanço'!N76</f>
        <v>0.779279023254147</v>
      </c>
      <c r="O26" s="159">
        <f>'3-Balanço'!O74/'3-Balanço'!O76</f>
        <v>0.8161834196301192</v>
      </c>
      <c r="P26" s="159">
        <f>'3-Balanço'!P74/'3-Balanço'!P76</f>
        <v>0.84734899008915787</v>
      </c>
      <c r="Q26" s="159">
        <f>'3-Balanço'!Q74/'3-Balanço'!Q76</f>
        <v>0.87433058163419763</v>
      </c>
    </row>
    <row r="27" spans="2:17" ht="21.6" customHeight="1">
      <c r="B27" s="152"/>
      <c r="C27" s="158" t="s">
        <v>232</v>
      </c>
      <c r="D27" s="161">
        <f>D13/D20</f>
        <v>1.5053783196709027</v>
      </c>
      <c r="E27" s="161">
        <f t="shared" ref="E27:Q27" si="2">E13/E20</f>
        <v>1.6082348421436063</v>
      </c>
      <c r="F27" s="161">
        <f t="shared" si="2"/>
        <v>1.6471797517198685</v>
      </c>
      <c r="G27" s="161">
        <f t="shared" si="2"/>
        <v>1.9174532310295389</v>
      </c>
      <c r="H27" s="161">
        <f t="shared" si="2"/>
        <v>1.4437284106423516</v>
      </c>
      <c r="I27" s="161">
        <f t="shared" si="2"/>
        <v>1.9185104193360414</v>
      </c>
      <c r="J27" s="161">
        <f t="shared" si="2"/>
        <v>1.8978898903805947</v>
      </c>
      <c r="K27" s="161">
        <f t="shared" si="2"/>
        <v>2.3240534723837492</v>
      </c>
      <c r="L27" s="161">
        <f t="shared" si="2"/>
        <v>2.8354169925028452</v>
      </c>
      <c r="M27" s="161">
        <f t="shared" si="2"/>
        <v>3.393295235409242</v>
      </c>
      <c r="N27" s="161">
        <f t="shared" si="2"/>
        <v>4.1325310238274646</v>
      </c>
      <c r="O27" s="161">
        <f t="shared" si="2"/>
        <v>5.1289491831826659</v>
      </c>
      <c r="P27" s="161">
        <f t="shared" si="2"/>
        <v>6.3074486808499586</v>
      </c>
      <c r="Q27" s="161">
        <f t="shared" si="2"/>
        <v>8.2420578643578573</v>
      </c>
    </row>
    <row r="28" spans="2:17" ht="10.5" customHeight="1">
      <c r="B28" s="152"/>
      <c r="C28" s="162"/>
      <c r="D28" s="163"/>
      <c r="E28" s="163"/>
      <c r="F28" s="163"/>
      <c r="G28" s="163"/>
      <c r="H28" s="163"/>
      <c r="I28" s="163"/>
      <c r="J28" s="163"/>
      <c r="K28" s="163"/>
      <c r="L28" s="163"/>
      <c r="M28" s="163"/>
      <c r="N28" s="163"/>
      <c r="O28" s="163"/>
      <c r="P28" s="163"/>
      <c r="Q28" s="163"/>
    </row>
    <row r="29" spans="2:17" ht="21.6" customHeight="1" thickBot="1">
      <c r="B29" s="139"/>
      <c r="C29" s="146" t="s">
        <v>233</v>
      </c>
      <c r="D29" s="164"/>
      <c r="E29" s="164"/>
      <c r="F29" s="164"/>
      <c r="G29" s="164"/>
      <c r="H29" s="164"/>
      <c r="I29" s="164"/>
      <c r="J29" s="164"/>
      <c r="K29" s="164"/>
      <c r="L29" s="164"/>
      <c r="M29" s="164"/>
      <c r="N29" s="164"/>
      <c r="O29" s="164"/>
      <c r="P29" s="164"/>
      <c r="Q29" s="164"/>
    </row>
    <row r="30" spans="2:17" ht="6.6" customHeight="1">
      <c r="B30" s="139"/>
      <c r="C30" s="148"/>
      <c r="D30" s="165"/>
      <c r="E30" s="165"/>
      <c r="F30" s="165"/>
      <c r="G30" s="165"/>
      <c r="H30" s="165"/>
      <c r="I30" s="165"/>
      <c r="J30" s="165"/>
      <c r="K30" s="165"/>
      <c r="L30" s="165"/>
      <c r="M30" s="165"/>
      <c r="N30" s="165"/>
      <c r="O30" s="165"/>
      <c r="P30" s="165"/>
      <c r="Q30" s="165"/>
    </row>
    <row r="31" spans="2:17" ht="21.6" customHeight="1">
      <c r="B31" s="139"/>
      <c r="C31" s="166" t="s">
        <v>234</v>
      </c>
      <c r="D31" s="242">
        <f>-'4-DRE'!B28/'3-Balanço'!D11</f>
        <v>4.8068315665488814</v>
      </c>
      <c r="E31" s="242">
        <f>-'4-DRE'!C28/'3-Balanço'!E11</f>
        <v>6.0178789181673729</v>
      </c>
      <c r="F31" s="242">
        <f>-'4-DRE'!D28/'3-Balanço'!F11</f>
        <v>6.0178789181673729</v>
      </c>
      <c r="G31" s="242">
        <f>-'4-DRE'!E28/'3-Balanço'!G11</f>
        <v>6.0178789181673729</v>
      </c>
      <c r="H31" s="242">
        <f>-'4-DRE'!F28/'3-Balanço'!H11</f>
        <v>6.0178789181673737</v>
      </c>
      <c r="I31" s="242">
        <f>-'4-DRE'!G28/'3-Balanço'!I11</f>
        <v>6.0178789181673737</v>
      </c>
      <c r="J31" s="242">
        <f>-'4-DRE'!H28/'3-Balanço'!J11</f>
        <v>6.0178789181673729</v>
      </c>
      <c r="K31" s="242">
        <f>-'4-DRE'!I28/'3-Balanço'!K11</f>
        <v>6.0178789181673729</v>
      </c>
      <c r="L31" s="242">
        <f>-'4-DRE'!J28/'3-Balanço'!L11</f>
        <v>6.0178789181673737</v>
      </c>
      <c r="M31" s="242">
        <f>-'4-DRE'!K28/'3-Balanço'!M11</f>
        <v>6.0178789181673729</v>
      </c>
      <c r="N31" s="242">
        <f>-'4-DRE'!L28/'3-Balanço'!N11</f>
        <v>6.0178789181673729</v>
      </c>
      <c r="O31" s="242">
        <f>-'4-DRE'!M28/'3-Balanço'!O11</f>
        <v>6.0178789181673729</v>
      </c>
      <c r="P31" s="242">
        <f>-'4-DRE'!N28/'3-Balanço'!P11</f>
        <v>6.0178789181673729</v>
      </c>
      <c r="Q31" s="242">
        <f>-'4-DRE'!O28/'3-Balanço'!Q11</f>
        <v>6.0178789181673737</v>
      </c>
    </row>
    <row r="32" spans="2:17" ht="21.6" customHeight="1">
      <c r="B32" s="139"/>
      <c r="C32" s="198" t="s">
        <v>138</v>
      </c>
      <c r="D32" s="179"/>
      <c r="E32" s="179"/>
      <c r="F32" s="179"/>
      <c r="G32" s="179"/>
      <c r="H32" s="179"/>
      <c r="I32" s="179"/>
      <c r="J32" s="179"/>
      <c r="K32" s="179"/>
      <c r="L32" s="179"/>
      <c r="M32" s="179"/>
      <c r="N32" s="179"/>
      <c r="O32" s="179"/>
      <c r="P32" s="179"/>
      <c r="Q32" s="179"/>
    </row>
    <row r="33" spans="2:17" ht="21.6" customHeight="1">
      <c r="B33" s="139"/>
      <c r="C33" s="196" t="s">
        <v>253</v>
      </c>
      <c r="D33" s="195">
        <f>'3-Balanço'!D11/-'4-DRE'!B28*360</f>
        <v>74.893408478314129</v>
      </c>
      <c r="E33" s="195">
        <f>'3-Balanço'!E11/-'4-DRE'!C28*360</f>
        <v>59.821741995040163</v>
      </c>
      <c r="F33" s="195">
        <f>'3-Balanço'!F11/-'4-DRE'!D28*360</f>
        <v>59.821741995040163</v>
      </c>
      <c r="G33" s="195">
        <f>'3-Balanço'!G11/-'4-DRE'!E28*360</f>
        <v>59.821741995040163</v>
      </c>
      <c r="H33" s="195">
        <f>'3-Balanço'!H11/-'4-DRE'!F28*360</f>
        <v>59.821741995040163</v>
      </c>
      <c r="I33" s="195">
        <f>'3-Balanço'!I11/-'4-DRE'!G28*360</f>
        <v>59.821741995040163</v>
      </c>
      <c r="J33" s="195">
        <f>'3-Balanço'!J11/-'4-DRE'!H28*360</f>
        <v>59.821741995040163</v>
      </c>
      <c r="K33" s="195">
        <f>'3-Balanço'!K11/-'4-DRE'!I28*360</f>
        <v>59.821741995040163</v>
      </c>
      <c r="L33" s="195">
        <f>'3-Balanço'!L11/-'4-DRE'!J28*360</f>
        <v>59.821741995040163</v>
      </c>
      <c r="M33" s="195">
        <f>'3-Balanço'!M11/-'4-DRE'!K28*360</f>
        <v>59.821741995040163</v>
      </c>
      <c r="N33" s="195">
        <f>'3-Balanço'!N11/-'4-DRE'!L28*360</f>
        <v>59.821741995040163</v>
      </c>
      <c r="O33" s="195">
        <f>'3-Balanço'!O11/-'4-DRE'!M28*360</f>
        <v>59.821741995040163</v>
      </c>
      <c r="P33" s="195">
        <f>'3-Balanço'!P11/-'4-DRE'!N28*360</f>
        <v>59.821741995040163</v>
      </c>
      <c r="Q33" s="195">
        <f>'3-Balanço'!Q11/-'4-DRE'!O28*360</f>
        <v>59.821741995040163</v>
      </c>
    </row>
    <row r="34" spans="2:17" ht="21.6" customHeight="1">
      <c r="B34" s="152"/>
      <c r="C34" s="197" t="s">
        <v>235</v>
      </c>
      <c r="D34" s="194">
        <f>'3-Balanço'!D9/'4-DRE'!B19*360</f>
        <v>43.689114282344619</v>
      </c>
      <c r="E34" s="194">
        <f>'3-Balanço'!E9/'4-DRE'!C19*360</f>
        <v>59.821741995040163</v>
      </c>
      <c r="F34" s="194">
        <f>'3-Balanço'!F9/'4-DRE'!D19*360</f>
        <v>59.821741995040163</v>
      </c>
      <c r="G34" s="194">
        <f>'3-Balanço'!G9/'4-DRE'!E19*360</f>
        <v>59.821741995040163</v>
      </c>
      <c r="H34" s="194">
        <f>'3-Balanço'!H9/'4-DRE'!F19*360</f>
        <v>59.821741995040163</v>
      </c>
      <c r="I34" s="194">
        <f>'3-Balanço'!I9/'4-DRE'!G19*360</f>
        <v>59.821741995040163</v>
      </c>
      <c r="J34" s="194">
        <f>'3-Balanço'!J9/'4-DRE'!H19*360</f>
        <v>59.821741995040163</v>
      </c>
      <c r="K34" s="194">
        <f>'3-Balanço'!K9/'4-DRE'!I19*360</f>
        <v>59.821741995040163</v>
      </c>
      <c r="L34" s="194">
        <f>'3-Balanço'!L9/'4-DRE'!J19*360</f>
        <v>59.821741995040163</v>
      </c>
      <c r="M34" s="194">
        <f>'3-Balanço'!M9/'4-DRE'!K19*360</f>
        <v>59.821741995040171</v>
      </c>
      <c r="N34" s="194">
        <f>'3-Balanço'!N9/'4-DRE'!L19*360</f>
        <v>59.821741995040163</v>
      </c>
      <c r="O34" s="194">
        <f>'3-Balanço'!O9/'4-DRE'!M19*360</f>
        <v>59.821741995040163</v>
      </c>
      <c r="P34" s="194">
        <f>'3-Balanço'!P9/'4-DRE'!N19*360</f>
        <v>59.821741995040163</v>
      </c>
      <c r="Q34" s="194">
        <f>'3-Balanço'!Q9/'4-DRE'!O19*360</f>
        <v>59.821741995040163</v>
      </c>
    </row>
    <row r="35" spans="2:17" ht="21.6" customHeight="1">
      <c r="B35" s="152"/>
      <c r="C35" s="143" t="s">
        <v>254</v>
      </c>
      <c r="D35" s="200">
        <f t="shared" ref="D35:Q35" si="3">SUM(D33:D34)</f>
        <v>118.58252276065875</v>
      </c>
      <c r="E35" s="200">
        <f t="shared" si="3"/>
        <v>119.64348399008033</v>
      </c>
      <c r="F35" s="200">
        <f t="shared" si="3"/>
        <v>119.64348399008033</v>
      </c>
      <c r="G35" s="200">
        <f t="shared" si="3"/>
        <v>119.64348399008033</v>
      </c>
      <c r="H35" s="200">
        <f t="shared" si="3"/>
        <v>119.64348399008033</v>
      </c>
      <c r="I35" s="200">
        <f t="shared" si="3"/>
        <v>119.64348399008033</v>
      </c>
      <c r="J35" s="200">
        <f t="shared" si="3"/>
        <v>119.64348399008033</v>
      </c>
      <c r="K35" s="200">
        <f t="shared" si="3"/>
        <v>119.64348399008033</v>
      </c>
      <c r="L35" s="200">
        <f t="shared" si="3"/>
        <v>119.64348399008033</v>
      </c>
      <c r="M35" s="200">
        <f t="shared" si="3"/>
        <v>119.64348399008034</v>
      </c>
      <c r="N35" s="200">
        <f t="shared" si="3"/>
        <v>119.64348399008033</v>
      </c>
      <c r="O35" s="200">
        <f t="shared" si="3"/>
        <v>119.64348399008033</v>
      </c>
      <c r="P35" s="200">
        <f t="shared" si="3"/>
        <v>119.64348399008033</v>
      </c>
      <c r="Q35" s="200">
        <f t="shared" si="3"/>
        <v>119.64348399008033</v>
      </c>
    </row>
    <row r="36" spans="2:17" ht="21.6" customHeight="1">
      <c r="B36" s="152"/>
      <c r="C36" s="199" t="s">
        <v>236</v>
      </c>
      <c r="D36" s="201">
        <f>'3-Balanço'!D43/'13-Ciclo'!F22*360</f>
        <v>56.054237288135596</v>
      </c>
      <c r="E36" s="201">
        <f>'3-Balanço'!E43/'13-Ciclo'!G22*360</f>
        <v>55.620583658133036</v>
      </c>
      <c r="F36" s="201">
        <f>'3-Balanço'!F43/'13-Ciclo'!H22*360</f>
        <v>55.620583658133036</v>
      </c>
      <c r="G36" s="201">
        <f>'3-Balanço'!G43/'13-Ciclo'!I22*360</f>
        <v>55.620583658133036</v>
      </c>
      <c r="H36" s="201">
        <f>'3-Balanço'!H43/'13-Ciclo'!J22*360</f>
        <v>55.620583658133036</v>
      </c>
      <c r="I36" s="201">
        <f>'3-Balanço'!I43/'13-Ciclo'!K22*360</f>
        <v>55.620583658133036</v>
      </c>
      <c r="J36" s="201">
        <f>'3-Balanço'!J43/'13-Ciclo'!L22*360</f>
        <v>55.620583658133036</v>
      </c>
      <c r="K36" s="201">
        <f>'3-Balanço'!K43/'13-Ciclo'!M22*360</f>
        <v>55.620583658133036</v>
      </c>
      <c r="L36" s="201">
        <f>'3-Balanço'!L43/'13-Ciclo'!N22*360</f>
        <v>55.620583658133036</v>
      </c>
      <c r="M36" s="201">
        <f>'3-Balanço'!M43/'13-Ciclo'!O22*360</f>
        <v>55.620583658133036</v>
      </c>
      <c r="N36" s="201">
        <f>'3-Balanço'!N43/'13-Ciclo'!P22*360</f>
        <v>55.620583658133036</v>
      </c>
      <c r="O36" s="201">
        <f>'3-Balanço'!O43/'13-Ciclo'!Q22*360</f>
        <v>55.620583658133036</v>
      </c>
      <c r="P36" s="201">
        <f>'3-Balanço'!P43/'13-Ciclo'!R22*360</f>
        <v>55.620583658133036</v>
      </c>
      <c r="Q36" s="201">
        <f>'3-Balanço'!Q43/'13-Ciclo'!S22*360</f>
        <v>55.620583658133036</v>
      </c>
    </row>
    <row r="37" spans="2:17" ht="21.6" customHeight="1">
      <c r="B37" s="152"/>
      <c r="C37" s="143" t="s">
        <v>255</v>
      </c>
      <c r="D37" s="202">
        <f t="shared" ref="D37:Q37" si="4">D35-D36</f>
        <v>62.528285472523152</v>
      </c>
      <c r="E37" s="202">
        <f t="shared" si="4"/>
        <v>64.022900331947284</v>
      </c>
      <c r="F37" s="202">
        <f t="shared" si="4"/>
        <v>64.022900331947284</v>
      </c>
      <c r="G37" s="202">
        <f t="shared" si="4"/>
        <v>64.022900331947284</v>
      </c>
      <c r="H37" s="202">
        <f t="shared" si="4"/>
        <v>64.022900331947284</v>
      </c>
      <c r="I37" s="202">
        <f t="shared" si="4"/>
        <v>64.022900331947284</v>
      </c>
      <c r="J37" s="202">
        <f t="shared" si="4"/>
        <v>64.022900331947284</v>
      </c>
      <c r="K37" s="202">
        <f t="shared" si="4"/>
        <v>64.022900331947284</v>
      </c>
      <c r="L37" s="202">
        <f t="shared" si="4"/>
        <v>64.022900331947284</v>
      </c>
      <c r="M37" s="202">
        <f t="shared" si="4"/>
        <v>64.022900331947312</v>
      </c>
      <c r="N37" s="202">
        <f t="shared" si="4"/>
        <v>64.022900331947284</v>
      </c>
      <c r="O37" s="202">
        <f t="shared" si="4"/>
        <v>64.022900331947284</v>
      </c>
      <c r="P37" s="202">
        <f t="shared" si="4"/>
        <v>64.022900331947284</v>
      </c>
      <c r="Q37" s="202">
        <f t="shared" si="4"/>
        <v>64.022900331947284</v>
      </c>
    </row>
    <row r="38" spans="2:17" ht="21.6" customHeight="1">
      <c r="B38" s="152"/>
      <c r="C38" s="167" t="s">
        <v>237</v>
      </c>
      <c r="D38" s="168">
        <f>'4-DRE'!B22/('3-Balanço'!D9+'3-Balanço'!D11+'3-Balanço'!D21+'3-Balanço'!D22)</f>
        <v>0.73722694452061055</v>
      </c>
      <c r="E38" s="168">
        <f>'4-DRE'!C22/('3-Balanço'!E9+'3-Balanço'!E11+'3-Balanço'!E21+'3-Balanço'!E22)</f>
        <v>0.69059299842262167</v>
      </c>
      <c r="F38" s="168">
        <f>'4-DRE'!D22/('3-Balanço'!F9+'3-Balanço'!F11+'3-Balanço'!F21+'3-Balanço'!F22)</f>
        <v>0.70430866331092945</v>
      </c>
      <c r="G38" s="168">
        <f>'4-DRE'!E22/('3-Balanço'!G9+'3-Balanço'!G11+'3-Balanço'!G21+'3-Balanço'!G22)</f>
        <v>0.75375364309316306</v>
      </c>
      <c r="H38" s="168">
        <f>'4-DRE'!F22/('3-Balanço'!H9+'3-Balanço'!H11+'3-Balanço'!H21+'3-Balanço'!H22)</f>
        <v>0.81277107575239482</v>
      </c>
      <c r="I38" s="168">
        <f>'4-DRE'!G22/('3-Balanço'!I9+'3-Balanço'!I11+'3-Balanço'!I21+'3-Balanço'!I22)</f>
        <v>0.78196693514124549</v>
      </c>
      <c r="J38" s="168">
        <f>'4-DRE'!H22/('3-Balanço'!J9+'3-Balanço'!J11+'3-Balanço'!J21+'3-Balanço'!J22)</f>
        <v>0.77657890915756234</v>
      </c>
      <c r="K38" s="168">
        <f>'4-DRE'!I22/('3-Balanço'!K9+'3-Balanço'!K11+'3-Balanço'!K21+'3-Balanço'!K22)</f>
        <v>0.8081868450279901</v>
      </c>
      <c r="L38" s="168">
        <f>'4-DRE'!J22/('3-Balanço'!L9+'3-Balanço'!L11+'3-Balanço'!L21+'3-Balanço'!L22)</f>
        <v>0.85426848123476606</v>
      </c>
      <c r="M38" s="168">
        <f>'4-DRE'!K22/('3-Balanço'!M9+'3-Balanço'!M11+'3-Balanço'!M21+'3-Balanço'!M22)</f>
        <v>0.91011413554648446</v>
      </c>
      <c r="N38" s="168">
        <f>'4-DRE'!L22/('3-Balanço'!N9+'3-Balanço'!N11+'3-Balanço'!N21+'3-Balanço'!N22)</f>
        <v>0.97472057586929006</v>
      </c>
      <c r="O38" s="168">
        <f>'4-DRE'!M22/('3-Balanço'!O9+'3-Balanço'!O11+'3-Balanço'!O21+'3-Balanço'!O22)</f>
        <v>1.0533422789545848</v>
      </c>
      <c r="P38" s="168">
        <f>'4-DRE'!N22/('3-Balanço'!P9+'3-Balanço'!P11+'3-Balanço'!P21+'3-Balanço'!P22)</f>
        <v>1.1469259899019486</v>
      </c>
      <c r="Q38" s="168">
        <f>'4-DRE'!O22/('3-Balanço'!Q9+'3-Balanço'!Q11+'3-Balanço'!Q21+'3-Balanço'!Q22)</f>
        <v>1.2568646141052344</v>
      </c>
    </row>
    <row r="39" spans="2:17" ht="21.6" customHeight="1">
      <c r="B39" s="152"/>
      <c r="C39" s="167" t="s">
        <v>238</v>
      </c>
      <c r="D39" s="169"/>
      <c r="E39" s="169"/>
      <c r="F39" s="169"/>
      <c r="G39" s="169"/>
      <c r="H39" s="169"/>
      <c r="I39" s="169"/>
      <c r="J39" s="169"/>
      <c r="K39" s="169"/>
      <c r="L39" s="169"/>
      <c r="M39" s="169"/>
      <c r="N39" s="169"/>
      <c r="O39" s="169"/>
      <c r="P39" s="169"/>
      <c r="Q39" s="169"/>
    </row>
    <row r="40" spans="2:17" ht="21.6" customHeight="1">
      <c r="B40" s="152"/>
      <c r="C40" s="167" t="s">
        <v>239</v>
      </c>
      <c r="D40" s="170">
        <f>'3-Balanço'!D15/'3-Balanço'!D51</f>
        <v>1.584521384928717</v>
      </c>
      <c r="E40" s="170">
        <f>'3-Balanço'!E15/'3-Balanço'!E51</f>
        <v>1.8184759827060175</v>
      </c>
      <c r="F40" s="170">
        <f>'3-Balanço'!F15/'3-Balanço'!F51</f>
        <v>2.1678732833416126</v>
      </c>
      <c r="G40" s="170">
        <f>'3-Balanço'!G15/'3-Balanço'!G51</f>
        <v>2.9363053147659786</v>
      </c>
      <c r="H40" s="170">
        <f>'3-Balanço'!H15/'3-Balanço'!H51</f>
        <v>2.433514544223256</v>
      </c>
      <c r="I40" s="170">
        <f>'3-Balanço'!I15/'3-Balanço'!I51</f>
        <v>2.3155955723068375</v>
      </c>
      <c r="J40" s="170">
        <f>'3-Balanço'!J15/'3-Balanço'!J51</f>
        <v>2.0708997998723864</v>
      </c>
      <c r="K40" s="170">
        <f>'3-Balanço'!K15/'3-Balanço'!K51</f>
        <v>2.2405112682844313</v>
      </c>
      <c r="L40" s="170">
        <f>'3-Balanço'!L15/'3-Balanço'!L51</f>
        <v>2.4910170722896567</v>
      </c>
      <c r="M40" s="170">
        <f>'3-Balanço'!M15/'3-Balanço'!M51</f>
        <v>2.9201566283222782</v>
      </c>
      <c r="N40" s="170">
        <f>'3-Balanço'!N15/'3-Balanço'!N51</f>
        <v>3.4332230457424586</v>
      </c>
      <c r="O40" s="170">
        <f>'3-Balanço'!O15/'3-Balanço'!O51</f>
        <v>4.2376206522596087</v>
      </c>
      <c r="P40" s="170">
        <f>'3-Balanço'!P15/'3-Balanço'!P51</f>
        <v>5.221249681678783</v>
      </c>
      <c r="Q40" s="170">
        <f>'3-Balanço'!Q15/'3-Balanço'!Q51</f>
        <v>6.7763560837005175</v>
      </c>
    </row>
    <row r="41" spans="2:17" ht="21.6" customHeight="1">
      <c r="B41" s="152"/>
      <c r="C41" s="167" t="s">
        <v>240</v>
      </c>
      <c r="D41" s="169">
        <f>('3-Balanço'!D15-'3-Balanço'!D11)/'3-Balanço'!D51</f>
        <v>1.2386965376782078</v>
      </c>
      <c r="E41" s="169">
        <f>('3-Balanço'!E15-'3-Balanço'!E11)/'3-Balanço'!E51</f>
        <v>1.4918981231048216</v>
      </c>
      <c r="F41" s="169">
        <f>('3-Balanço'!F15-'3-Balanço'!F11)/'3-Balanço'!F51</f>
        <v>1.7906781499009718</v>
      </c>
      <c r="G41" s="169">
        <f>('3-Balanço'!G15-'3-Balanço'!G11)/'3-Balanço'!G51</f>
        <v>2.5178868450822725</v>
      </c>
      <c r="H41" s="169">
        <f>('3-Balanço'!H15-'3-Balanço'!H11)/'3-Balanço'!H51</f>
        <v>2.1486993182841552</v>
      </c>
      <c r="I41" s="169">
        <f>('3-Balanço'!I15-'3-Balanço'!I11)/'3-Balanço'!I51</f>
        <v>1.8868752160180293</v>
      </c>
      <c r="J41" s="169">
        <f>('3-Balanço'!J15-'3-Balanço'!J11)/'3-Balanço'!J51</f>
        <v>1.621773657544098</v>
      </c>
      <c r="K41" s="169">
        <f>('3-Balanço'!K15-'3-Balanço'!K11)/'3-Balanço'!K51</f>
        <v>1.7768762889218956</v>
      </c>
      <c r="L41" s="169">
        <f>('3-Balanço'!L15-'3-Balanço'!L11)/'3-Balanço'!L51</f>
        <v>2.0212585163168391</v>
      </c>
      <c r="M41" s="169">
        <f>('3-Balanço'!M15-'3-Balanço'!M11)/'3-Balanço'!M51</f>
        <v>2.4383321097233934</v>
      </c>
      <c r="N41" s="169">
        <f>('3-Balanço'!N15-'3-Balanço'!N11)/'3-Balanço'!N51</f>
        <v>2.9244373389247711</v>
      </c>
      <c r="O41" s="169">
        <f>('3-Balanço'!O15-'3-Balanço'!O11)/'3-Balanço'!O51</f>
        <v>3.6990630451831463</v>
      </c>
      <c r="P41" s="169">
        <f>('3-Balanço'!P15-'3-Balanço'!P11)/'3-Balanço'!P51</f>
        <v>4.6656596066548008</v>
      </c>
      <c r="Q41" s="169">
        <f>('3-Balanço'!Q15-'3-Balanço'!Q11)/'3-Balanço'!Q51</f>
        <v>6.1744773844783145</v>
      </c>
    </row>
    <row r="42" spans="2:17" ht="21.6" customHeight="1">
      <c r="B42" s="152"/>
      <c r="C42" s="167" t="s">
        <v>241</v>
      </c>
      <c r="D42" s="168">
        <f>('3-Balanço'!D15+'3-Balanço'!D17)/('3-Balanço'!D51+'3-Balanço'!D60)</f>
        <v>0.51618895966029721</v>
      </c>
      <c r="E42" s="168">
        <f>('3-Balanço'!E15+'3-Balanço'!E17)/('3-Balanço'!E51+'3-Balanço'!E60)</f>
        <v>0.56472700926503772</v>
      </c>
      <c r="F42" s="168">
        <f>('3-Balanço'!F15+'3-Balanço'!F17)/('3-Balanço'!F51+'3-Balanço'!F60)</f>
        <v>0.62086389290241328</v>
      </c>
      <c r="G42" s="168">
        <f>('3-Balanço'!G15+'3-Balanço'!G17)/('3-Balanço'!G51+'3-Balanço'!G60)</f>
        <v>0.79655056634240595</v>
      </c>
      <c r="H42" s="168">
        <f>('3-Balanço'!H15+'3-Balanço'!H17)/('3-Balanço'!H51+'3-Balanço'!H60)</f>
        <v>0.99058819827762767</v>
      </c>
      <c r="I42" s="168">
        <f>('3-Balanço'!I15+'3-Balanço'!I17)/('3-Balanço'!I51+'3-Balanço'!I60)</f>
        <v>0.86599426968277493</v>
      </c>
      <c r="J42" s="168">
        <f>('3-Balanço'!J15+'3-Balanço'!J17)/('3-Balanço'!J51+'3-Balanço'!J60)</f>
        <v>0.7910966711534384</v>
      </c>
      <c r="K42" s="168">
        <f>('3-Balanço'!K15+'3-Balanço'!K17)/('3-Balanço'!K51+'3-Balanço'!K60)</f>
        <v>0.83610198500142707</v>
      </c>
      <c r="L42" s="168">
        <f>('3-Balanço'!L15+'3-Balanço'!L17)/('3-Balanço'!L51+'3-Balanço'!L60)</f>
        <v>0.9677571580959986</v>
      </c>
      <c r="M42" s="168">
        <f>('3-Balanço'!M15+'3-Balanço'!M17)/('3-Balanço'!M51+'3-Balanço'!M60)</f>
        <v>1.1822082007556209</v>
      </c>
      <c r="N42" s="168">
        <f>('3-Balanço'!N15+'3-Balanço'!N17)/('3-Balanço'!N51+'3-Balanço'!N60)</f>
        <v>1.5476496391631838</v>
      </c>
      <c r="O42" s="168">
        <f>('3-Balanço'!O15+'3-Balanço'!O17)/('3-Balanço'!O51+'3-Balanço'!O60)</f>
        <v>2.1118454071573329</v>
      </c>
      <c r="P42" s="168">
        <f>('3-Balanço'!P15+'3-Balanço'!P17)/('3-Balanço'!P51+'3-Balanço'!P60)</f>
        <v>2.9233033657442324</v>
      </c>
      <c r="Q42" s="168">
        <f>('3-Balanço'!Q15+'3-Balanço'!Q17)/('3-Balanço'!Q51+'3-Balanço'!Q60)</f>
        <v>4.062006256912289</v>
      </c>
    </row>
    <row r="43" spans="2:17" ht="21.6" customHeight="1">
      <c r="B43" s="139"/>
      <c r="C43" s="171" t="s">
        <v>242</v>
      </c>
      <c r="D43" s="172">
        <f>'3-Balanço'!D38</f>
        <v>15715</v>
      </c>
      <c r="E43" s="172">
        <f>'3-Balanço'!E38</f>
        <v>17522.749289268304</v>
      </c>
      <c r="F43" s="172">
        <f>'3-Balanço'!F38</f>
        <v>19491.880817593843</v>
      </c>
      <c r="G43" s="172">
        <f>'3-Balanço'!G38</f>
        <v>22208.377699260534</v>
      </c>
      <c r="H43" s="172">
        <f>'3-Balanço'!H38</f>
        <v>25568.403609545618</v>
      </c>
      <c r="I43" s="172">
        <f>'3-Balanço'!I38</f>
        <v>25670.93061559934</v>
      </c>
      <c r="J43" s="172">
        <f>'3-Balanço'!J38</f>
        <v>28159.260574291784</v>
      </c>
      <c r="K43" s="172">
        <f>'3-Balanço'!K38</f>
        <v>31405.578971392562</v>
      </c>
      <c r="L43" s="172">
        <f>'3-Balanço'!L38</f>
        <v>34956.971460249035</v>
      </c>
      <c r="M43" s="172">
        <f>'3-Balanço'!M38</f>
        <v>39230.72677699574</v>
      </c>
      <c r="N43" s="172">
        <f>'3-Balanço'!N38</f>
        <v>43487.085800922403</v>
      </c>
      <c r="O43" s="172">
        <f>'3-Balanço'!O38</f>
        <v>48835.215681549817</v>
      </c>
      <c r="P43" s="172">
        <f>'3-Balanço'!P38</f>
        <v>55506.945603925793</v>
      </c>
      <c r="Q43" s="172">
        <f>'3-Balanço'!Q38</f>
        <v>63627.023390135902</v>
      </c>
    </row>
    <row r="44" spans="2:17" ht="21.6" customHeight="1">
      <c r="B44" s="173"/>
      <c r="C44" s="171" t="s">
        <v>243</v>
      </c>
      <c r="D44" s="174">
        <f>'3-Balanço'!D74</f>
        <v>7391</v>
      </c>
      <c r="E44" s="174">
        <f>'3-Balanço'!E74</f>
        <v>9052.54316472959</v>
      </c>
      <c r="F44" s="174">
        <f>'3-Balanço'!F74</f>
        <v>10573.144153242038</v>
      </c>
      <c r="G44" s="174">
        <f>'3-Balanço'!G74</f>
        <v>12500.444678704125</v>
      </c>
      <c r="H44" s="174">
        <f>'3-Balanço'!H74</f>
        <v>14805.720258052297</v>
      </c>
      <c r="I44" s="174">
        <f>'3-Balanço'!I74</f>
        <v>16633.533517144802</v>
      </c>
      <c r="J44" s="174">
        <f>'3-Balanço'!J74</f>
        <v>18542.553756314133</v>
      </c>
      <c r="K44" s="174">
        <f>'3-Balanço'!K74</f>
        <v>21319.336519092565</v>
      </c>
      <c r="L44" s="174">
        <f>'3-Balanço'!L74</f>
        <v>24806.321559445889</v>
      </c>
      <c r="M44" s="174">
        <f>'3-Balanço'!M74</f>
        <v>28917.224610966041</v>
      </c>
      <c r="N44" s="174">
        <f>'3-Balanço'!N74</f>
        <v>33888.573747112096</v>
      </c>
      <c r="O44" s="174">
        <f>'3-Balanço'!O74</f>
        <v>39858.493333341758</v>
      </c>
      <c r="P44" s="174">
        <f>'3-Balanço'!P74</f>
        <v>47033.754300420347</v>
      </c>
      <c r="Q44" s="174">
        <f>'3-Balanço'!Q74</f>
        <v>55631.052368350225</v>
      </c>
    </row>
    <row r="45" spans="2:17" ht="21.6" customHeight="1">
      <c r="B45" s="173"/>
      <c r="C45" s="171" t="s">
        <v>244</v>
      </c>
      <c r="D45" s="172">
        <f>'3-Balanço'!D46+'3-Balanço'!D47+'3-Balanço'!D55</f>
        <v>4018</v>
      </c>
      <c r="E45" s="172">
        <f>'3-Balanço'!E46+'3-Balanço'!E47+'3-Balanço'!E55</f>
        <v>4104</v>
      </c>
      <c r="F45" s="172">
        <f>'3-Balanço'!F46+'3-Balanço'!F47+'3-Balanço'!F55</f>
        <v>4395</v>
      </c>
      <c r="G45" s="172">
        <f>'3-Balanço'!G46+'3-Balanço'!G47+'3-Balanço'!G55</f>
        <v>5011</v>
      </c>
      <c r="H45" s="172">
        <f>'3-Balanço'!H46+'3-Balanço'!H47+'3-Balanço'!H55</f>
        <v>5883</v>
      </c>
      <c r="I45" s="172">
        <f>'3-Balanço'!I46+'3-Balanço'!I47+'3-Balanço'!I55</f>
        <v>3947.6</v>
      </c>
      <c r="J45" s="172">
        <f>'3-Balanço'!J46+'3-Balanço'!J47+'3-Balanço'!J55</f>
        <v>4287</v>
      </c>
      <c r="K45" s="172">
        <f>'3-Balanço'!K46+'3-Balanço'!K47+'3-Balanço'!K55</f>
        <v>4621.2</v>
      </c>
      <c r="L45" s="172">
        <f>'3-Balanço'!L46+'3-Balanço'!L47+'3-Balanço'!L55</f>
        <v>4522.3999999999996</v>
      </c>
      <c r="M45" s="172">
        <f>'3-Balanço'!M46+'3-Balanço'!M47+'3-Balanço'!M55</f>
        <v>4462.3999999999996</v>
      </c>
      <c r="N45" s="172">
        <f>'3-Balanço'!N46+'3-Balanço'!N47+'3-Balanço'!N55</f>
        <v>3510.2</v>
      </c>
      <c r="O45" s="172">
        <f>'3-Balanço'!O46+'3-Balanço'!O47+'3-Balanço'!O55</f>
        <v>2629.2</v>
      </c>
      <c r="P45" s="172">
        <f>'3-Balanço'!P46+'3-Balanço'!P47+'3-Balanço'!P55</f>
        <v>1842.3999999999996</v>
      </c>
      <c r="Q45" s="172">
        <f>'3-Balanço'!Q46+'3-Balanço'!Q47+'3-Balanço'!Q55</f>
        <v>1055.5999999999995</v>
      </c>
    </row>
    <row r="46" spans="2:17" ht="21.6" customHeight="1">
      <c r="B46" s="173"/>
      <c r="C46" s="171" t="s">
        <v>245</v>
      </c>
      <c r="D46" s="174">
        <f>'4-DRE'!B22</f>
        <v>8066</v>
      </c>
      <c r="E46" s="174">
        <f>'4-DRE'!C22</f>
        <v>9298.0492879321355</v>
      </c>
      <c r="F46" s="174">
        <f>'4-DRE'!D22</f>
        <v>10718.289184331179</v>
      </c>
      <c r="G46" s="174">
        <f>'4-DRE'!E22</f>
        <v>12355.465053089663</v>
      </c>
      <c r="H46" s="174">
        <f>'4-DRE'!F22</f>
        <v>14242.712997638324</v>
      </c>
      <c r="I46" s="174">
        <f>'4-DRE'!G22</f>
        <v>16418.230528875873</v>
      </c>
      <c r="J46" s="174">
        <f>'4-DRE'!H22</f>
        <v>18926.049674946684</v>
      </c>
      <c r="K46" s="174">
        <f>'4-DRE'!I22</f>
        <v>21816.928180449569</v>
      </c>
      <c r="L46" s="174">
        <f>'4-DRE'!J22</f>
        <v>25149.376832766633</v>
      </c>
      <c r="M46" s="174">
        <f>'4-DRE'!K22</f>
        <v>28990.843708386154</v>
      </c>
      <c r="N46" s="174">
        <f>'4-DRE'!L22</f>
        <v>33419.079308121953</v>
      </c>
      <c r="O46" s="174">
        <f>'4-DRE'!M22</f>
        <v>38523.710211285754</v>
      </c>
      <c r="P46" s="174">
        <f>'4-DRE'!N22</f>
        <v>44408.053099249868</v>
      </c>
      <c r="Q46" s="174">
        <f>'4-DRE'!O22</f>
        <v>51191.205863864699</v>
      </c>
    </row>
    <row r="47" spans="2:17" ht="21.6" customHeight="1">
      <c r="B47" s="173"/>
      <c r="C47" s="175" t="s">
        <v>246</v>
      </c>
      <c r="D47" s="176">
        <f>'3-Balanço'!D15-'3-Balanço'!D51</f>
        <v>1435</v>
      </c>
      <c r="E47" s="176">
        <f>'3-Balanço'!E15-'3-Balanço'!E51</f>
        <v>1952.6431647295894</v>
      </c>
      <c r="F47" s="176">
        <f>'3-Balanço'!F15-'3-Balanço'!F51</f>
        <v>2719.494153242038</v>
      </c>
      <c r="G47" s="176">
        <f>'3-Balanço'!G15-'3-Balanço'!G51</f>
        <v>4685.4096787041253</v>
      </c>
      <c r="H47" s="176">
        <f>'3-Balanço'!H15-'3-Balanço'!H51</f>
        <v>5820.5017580522963</v>
      </c>
      <c r="I47" s="176">
        <f>'3-Balanço'!I15-'3-Balanço'!I51</f>
        <v>4058.7931671448023</v>
      </c>
      <c r="J47" s="176">
        <f>'3-Balanço'!J15-'3-Balanço'!J51</f>
        <v>3611.7393713141337</v>
      </c>
      <c r="K47" s="176">
        <f>'3-Balanço'!K15-'3-Balanço'!K51</f>
        <v>4304.4106955925672</v>
      </c>
      <c r="L47" s="176">
        <f>'3-Balanço'!L15-'3-Balanço'!L51</f>
        <v>5423.3931535958891</v>
      </c>
      <c r="M47" s="176">
        <f>'3-Balanço'!M15-'3-Balanço'!M51</f>
        <v>7404.7833645310429</v>
      </c>
      <c r="N47" s="176">
        <f>'3-Balanço'!N15-'3-Balanço'!N51</f>
        <v>9663.9283760335966</v>
      </c>
      <c r="O47" s="176">
        <f>'3-Balanço'!O15-'3-Balanço'!O51</f>
        <v>13212.413425155402</v>
      </c>
      <c r="P47" s="176">
        <f>'3-Balanço'!P15-'3-Balanço'!P51</f>
        <v>18163.316401415359</v>
      </c>
      <c r="Q47" s="176">
        <f>'3-Balanço'!Q15-'3-Balanço'!Q51</f>
        <v>24958.09067944474</v>
      </c>
    </row>
    <row r="48" spans="2:17" ht="21.6" customHeight="1">
      <c r="B48" s="173"/>
      <c r="C48" s="175" t="s">
        <v>247</v>
      </c>
      <c r="D48" s="177">
        <f>'3-Balanço'!D9+'3-Balanço'!D11-'3-Balanço'!D43-'3-Balanço'!D44</f>
        <v>1048</v>
      </c>
      <c r="E48" s="177">
        <f>'3-Balanço'!E9+'3-Balanço'!E11-'3-Balanço'!E43-'3-Balanço'!E44</f>
        <v>2172.7565401128809</v>
      </c>
      <c r="F48" s="177">
        <f>'3-Balanço'!F9+'3-Balanço'!F11-'3-Balanço'!F43-'3-Balanço'!F44</f>
        <v>2533.7836389139406</v>
      </c>
      <c r="G48" s="177">
        <f>'3-Balanço'!G9+'3-Balanço'!G11-'3-Balanço'!G43-'3-Balanço'!G44</f>
        <v>2900.9461894854867</v>
      </c>
      <c r="H48" s="177">
        <f>'3-Balanço'!H9+'3-Balanço'!H11-'3-Balanço'!H43-'3-Balanço'!H44</f>
        <v>3294.1446247959839</v>
      </c>
      <c r="I48" s="177">
        <f>'3-Balanço'!I9+'3-Balanço'!I11-'3-Balanço'!I43-'3-Balanço'!I44</f>
        <v>3748.5300207029304</v>
      </c>
      <c r="J48" s="177">
        <f>'3-Balanço'!J9+'3-Balanço'!J11-'3-Balanço'!J43-'3-Balanço'!J44</f>
        <v>4270.336846329641</v>
      </c>
      <c r="K48" s="177">
        <f>'3-Balanço'!K9+'3-Balanço'!K11-'3-Balanço'!K43-'3-Balanço'!K44</f>
        <v>4340.5380564033949</v>
      </c>
      <c r="L48" s="177">
        <f>'3-Balanço'!L9+'3-Balanço'!L11-'3-Balanço'!L43-'3-Balanço'!L44</f>
        <v>4399.0854351432663</v>
      </c>
      <c r="M48" s="177">
        <f>'3-Balanço'!M9+'3-Balanço'!M11-'3-Balanço'!M43-'3-Balanço'!M44</f>
        <v>4563.3313415532721</v>
      </c>
      <c r="N48" s="177">
        <f>'3-Balanço'!N9+'3-Balanço'!N11-'3-Balanço'!N43-'3-Balanço'!N44</f>
        <v>4926.6472820833933</v>
      </c>
      <c r="O48" s="177">
        <f>'3-Balanço'!O9+'3-Balanço'!O11-'3-Balanço'!O43-'3-Balanço'!O44</f>
        <v>5319.8297479561134</v>
      </c>
      <c r="P48" s="177">
        <f>'3-Balanço'!P9+'3-Balanço'!P11-'3-Balanço'!P43-'3-Balanço'!P44</f>
        <v>5745.3675810992345</v>
      </c>
      <c r="Q48" s="177">
        <f>'3-Balanço'!Q9+'3-Balanço'!Q11-'3-Balanço'!Q43-'3-Balanço'!Q44</f>
        <v>6205.959282550185</v>
      </c>
    </row>
    <row r="49" spans="2:17" ht="21.6" customHeight="1">
      <c r="B49" s="173"/>
      <c r="C49" s="171" t="s">
        <v>248</v>
      </c>
      <c r="D49" s="172">
        <f>'4-DRE'!B43</f>
        <v>3003</v>
      </c>
      <c r="E49" s="172">
        <f>'4-DRE'!C43</f>
        <v>3926.7242196394536</v>
      </c>
      <c r="F49" s="172">
        <f>'4-DRE'!D43</f>
        <v>4532.7614710261259</v>
      </c>
      <c r="G49" s="172">
        <f>'4-DRE'!E43</f>
        <v>5184.2603195465299</v>
      </c>
      <c r="H49" s="172">
        <f>'4-DRE'!F43</f>
        <v>6082.6992193917058</v>
      </c>
      <c r="I49" s="172">
        <f>'4-DRE'!G43</f>
        <v>7330.3020798354555</v>
      </c>
      <c r="J49" s="172">
        <f>'4-DRE'!H43</f>
        <v>8389.0451040725475</v>
      </c>
      <c r="K49" s="172">
        <f>'4-DRE'!I43</f>
        <v>10497.8940746884</v>
      </c>
      <c r="L49" s="172">
        <f>'4-DRE'!J43</f>
        <v>13155.594859581939</v>
      </c>
      <c r="M49" s="172">
        <f>'4-DRE'!K43</f>
        <v>16094.200768201839</v>
      </c>
      <c r="N49" s="172">
        <f>'4-DRE'!L43</f>
        <v>19601.86138849389</v>
      </c>
      <c r="O49" s="172">
        <f>'4-DRE'!M43</f>
        <v>23745.592384142623</v>
      </c>
      <c r="P49" s="172">
        <f>'4-DRE'!N43</f>
        <v>28679.665450347264</v>
      </c>
      <c r="Q49" s="172">
        <f>'4-DRE'!O43</f>
        <v>34534.821917957233</v>
      </c>
    </row>
    <row r="50" spans="2:17" ht="21.6" customHeight="1">
      <c r="B50" s="173"/>
      <c r="C50" s="171" t="s">
        <v>249</v>
      </c>
      <c r="D50" s="174">
        <f>'4-DRE'!B53</f>
        <v>2573</v>
      </c>
      <c r="E50" s="174">
        <f>'4-DRE'!C53</f>
        <v>2948.04316472959</v>
      </c>
      <c r="F50" s="174">
        <f>'4-DRE'!D53</f>
        <v>2994.6225708772431</v>
      </c>
      <c r="G50" s="174">
        <f>'4-DRE'!E53</f>
        <v>3424.6118109007093</v>
      </c>
      <c r="H50" s="174">
        <f>'4-DRE'!F53</f>
        <v>4017.5814847985257</v>
      </c>
      <c r="I50" s="174">
        <f>'4-DRE'!G53</f>
        <v>4840.9993726913999</v>
      </c>
      <c r="J50" s="174">
        <f>'4-DRE'!H53</f>
        <v>5539.769768687881</v>
      </c>
      <c r="K50" s="174">
        <f>'4-DRE'!I53</f>
        <v>6931.6100892943432</v>
      </c>
      <c r="L50" s="174">
        <f>'4-DRE'!J53</f>
        <v>8685.6926073240793</v>
      </c>
      <c r="M50" s="174">
        <f>'4-DRE'!K53</f>
        <v>10625.172507013212</v>
      </c>
      <c r="N50" s="174">
        <f>'4-DRE'!L53</f>
        <v>12940.228516405967</v>
      </c>
      <c r="O50" s="174">
        <f>'4-DRE'!M53</f>
        <v>15675.09097353413</v>
      </c>
      <c r="P50" s="174">
        <f>'4-DRE'!N53</f>
        <v>18931.579197229192</v>
      </c>
      <c r="Q50" s="174">
        <f>'4-DRE'!O53</f>
        <v>22795.982465851775</v>
      </c>
    </row>
    <row r="51" spans="2:17" ht="21.6" customHeight="1">
      <c r="B51" s="173"/>
      <c r="C51" s="171" t="s">
        <v>250</v>
      </c>
      <c r="D51" s="172">
        <f>'4-DRE'!B35</f>
        <v>3522</v>
      </c>
      <c r="E51" s="172">
        <f>'4-DRE'!C35</f>
        <v>4275.7766879321362</v>
      </c>
      <c r="F51" s="172">
        <f>'4-DRE'!D35</f>
        <v>5057.5989207595776</v>
      </c>
      <c r="G51" s="172">
        <f>'4-DRE'!E35</f>
        <v>5806.7600242112821</v>
      </c>
      <c r="H51" s="172">
        <f>'4-DRE'!F35</f>
        <v>6668.3270875430126</v>
      </c>
      <c r="I51" s="172">
        <f>'4-DRE'!G35</f>
        <v>7828.310054314702</v>
      </c>
      <c r="J51" s="172">
        <f>'4-DRE'!H35</f>
        <v>9274.260405038116</v>
      </c>
      <c r="K51" s="172">
        <f>'4-DRE'!I35</f>
        <v>11685.350792921658</v>
      </c>
      <c r="L51" s="172">
        <f>'4-DRE'!J35</f>
        <v>14493.674124443509</v>
      </c>
      <c r="M51" s="172">
        <f>'4-DRE'!K35</f>
        <v>17503.858780746821</v>
      </c>
      <c r="N51" s="172">
        <f>'4-DRE'!L35</f>
        <v>21010.621112049772</v>
      </c>
      <c r="O51" s="172">
        <f>'4-DRE'!M35</f>
        <v>25095.458359625649</v>
      </c>
      <c r="P51" s="172">
        <f>'4-DRE'!N35</f>
        <v>29852.816947993186</v>
      </c>
      <c r="Q51" s="172">
        <f>'4-DRE'!O35</f>
        <v>35392.11560568172</v>
      </c>
    </row>
    <row r="52" spans="2:17" ht="21.6" customHeight="1">
      <c r="B52" s="173"/>
      <c r="C52" s="171" t="s">
        <v>251</v>
      </c>
      <c r="D52" s="174">
        <f>'4-DRE'!B37</f>
        <v>3123</v>
      </c>
      <c r="E52" s="174">
        <f>'4-DRE'!C37</f>
        <v>3635.1766879321362</v>
      </c>
      <c r="F52" s="174">
        <f>'4-DRE'!D37</f>
        <v>4316.9989207595772</v>
      </c>
      <c r="G52" s="174">
        <f>'4-DRE'!E37</f>
        <v>4966.1600242112818</v>
      </c>
      <c r="H52" s="174">
        <f>'4-DRE'!F37</f>
        <v>5752.7270875430122</v>
      </c>
      <c r="I52" s="174">
        <f>'4-DRE'!G37</f>
        <v>6837.7100543147017</v>
      </c>
      <c r="J52" s="174">
        <f>'4-DRE'!H37</f>
        <v>8092.1604050381156</v>
      </c>
      <c r="K52" s="174">
        <f>'4-DRE'!I37</f>
        <v>10311.750792921657</v>
      </c>
      <c r="L52" s="174">
        <f>'4-DRE'!J37</f>
        <v>12928.574124443508</v>
      </c>
      <c r="M52" s="174">
        <f>'4-DRE'!K37</f>
        <v>15747.258780746821</v>
      </c>
      <c r="N52" s="174">
        <f>'4-DRE'!L37</f>
        <v>19062.521112049773</v>
      </c>
      <c r="O52" s="174">
        <f>'4-DRE'!M37</f>
        <v>22955.85835962565</v>
      </c>
      <c r="P52" s="174">
        <f>'4-DRE'!N37</f>
        <v>27521.716947993187</v>
      </c>
      <c r="Q52" s="174">
        <f>'4-DRE'!O37</f>
        <v>32869.515605681721</v>
      </c>
    </row>
    <row r="53" spans="2:17" ht="21.6" customHeight="1">
      <c r="B53" s="173"/>
      <c r="C53" s="171" t="s">
        <v>252</v>
      </c>
      <c r="D53" s="193">
        <f>'4-DRE'!B53-'4-DRE'!B49-'4-DRE'!B48-'4-DRE'!B40-'4-DRE'!B36</f>
        <v>2588</v>
      </c>
      <c r="E53" s="193">
        <f>'4-DRE'!C53-'4-DRE'!C49-'4-DRE'!C48-'4-DRE'!C40-'4-DRE'!C36</f>
        <v>3204.6431647295899</v>
      </c>
      <c r="F53" s="193">
        <f>'4-DRE'!D53-'4-DRE'!D49-'4-DRE'!D48-'4-DRE'!D40-'4-DRE'!D36</f>
        <v>3351.222570877243</v>
      </c>
      <c r="G53" s="193">
        <f>'4-DRE'!E53-'4-DRE'!E49-'4-DRE'!E48-'4-DRE'!E40-'4-DRE'!E36</f>
        <v>3881.2118109007092</v>
      </c>
      <c r="H53" s="193">
        <f>'4-DRE'!F53-'4-DRE'!F49-'4-DRE'!F48-'4-DRE'!F40-'4-DRE'!F36</f>
        <v>4549.1814847985261</v>
      </c>
      <c r="I53" s="193">
        <f>'4-DRE'!G53-'4-DRE'!G49-'4-DRE'!G48-'4-DRE'!G40-'4-DRE'!G36</f>
        <v>5447.5993726914003</v>
      </c>
      <c r="J53" s="193">
        <f>'4-DRE'!H53-'4-DRE'!H49-'4-DRE'!H48-'4-DRE'!H40-'4-DRE'!H36</f>
        <v>6337.8697686878813</v>
      </c>
      <c r="K53" s="193">
        <f>'4-DRE'!I53-'4-DRE'!I49-'4-DRE'!I48-'4-DRE'!I40-'4-DRE'!I36</f>
        <v>7921.2100892943436</v>
      </c>
      <c r="L53" s="193">
        <f>'4-DRE'!J53-'4-DRE'!J49-'4-DRE'!J48-'4-DRE'!J40-'4-DRE'!J36</f>
        <v>9866.7926073240797</v>
      </c>
      <c r="M53" s="193">
        <f>'4-DRE'!K53-'4-DRE'!K49-'4-DRE'!K48-'4-DRE'!K40-'4-DRE'!K36</f>
        <v>11997.772507013213</v>
      </c>
      <c r="N53" s="193">
        <f>'4-DRE'!L53-'4-DRE'!L49-'4-DRE'!L48-'4-DRE'!L40-'4-DRE'!L36</f>
        <v>14504.328516405967</v>
      </c>
      <c r="O53" s="193">
        <f>'4-DRE'!M53-'4-DRE'!M49-'4-DRE'!M48-'4-DRE'!M40-'4-DRE'!M36</f>
        <v>17430.690973534129</v>
      </c>
      <c r="P53" s="193">
        <f>'4-DRE'!N53-'4-DRE'!N49-'4-DRE'!N48-'4-DRE'!N40-'4-DRE'!N36</f>
        <v>20878.67919722919</v>
      </c>
      <c r="Q53" s="193">
        <f>'4-DRE'!O53-'4-DRE'!O49-'4-DRE'!O48-'4-DRE'!O40-'4-DRE'!O36</f>
        <v>24934.582465851774</v>
      </c>
    </row>
    <row r="54" spans="2:17" ht="21" customHeight="1"/>
    <row r="55" spans="2:17" ht="21" customHeight="1">
      <c r="C55" s="178" t="s">
        <v>269</v>
      </c>
      <c r="E55" s="214">
        <f>'4-DRE'!C37/('3-Balanço'!E74+'3-Balanço'!E55+'3-Balanço'!E46)</f>
        <v>0.27630180986122665</v>
      </c>
      <c r="F55" s="214">
        <f>'4-DRE'!D37/('3-Balanço'!F74+'3-Balanço'!F55+'3-Balanço'!F46)</f>
        <v>0.28841243620870216</v>
      </c>
      <c r="G55" s="214">
        <f>'4-DRE'!E37/('3-Balanço'!G74+'3-Balanço'!G55+'3-Balanço'!G46)</f>
        <v>0.283595106818953</v>
      </c>
      <c r="H55" s="214">
        <f>'4-DRE'!F37/('3-Balanço'!H74+'3-Balanço'!H55+'3-Balanço'!H46)</f>
        <v>0.27806104078883187</v>
      </c>
      <c r="I55" s="214">
        <f>'4-DRE'!G37/('3-Balanço'!I74+'3-Balanço'!I55+'3-Balanço'!I46)</f>
        <v>0.33223194673017653</v>
      </c>
      <c r="J55" s="214">
        <f>'4-DRE'!H37/('3-Balanço'!J74+'3-Balanço'!J55+'3-Balanço'!J46)</f>
        <v>0.35445985897994214</v>
      </c>
      <c r="K55" s="214">
        <f>'4-DRE'!I37/('3-Balanço'!K74+'3-Balanço'!K55+'3-Balanço'!K46)</f>
        <v>0.39751493903497631</v>
      </c>
      <c r="L55" s="214">
        <f>'4-DRE'!J37/('3-Balanço'!L74+'3-Balanço'!L55+'3-Balanço'!L46)</f>
        <v>0.44081615007455405</v>
      </c>
      <c r="M55" s="214">
        <f>'4-DRE'!K37/('3-Balanço'!M74+'3-Balanço'!M55+'3-Balanço'!M46)</f>
        <v>0.47176260860565378</v>
      </c>
      <c r="N55" s="214">
        <f>'4-DRE'!L37/('3-Balanço'!N74+'3-Balanço'!N55+'3-Balanço'!N46)</f>
        <v>0.50970978997731897</v>
      </c>
      <c r="O55" s="214">
        <f>'4-DRE'!M37/('3-Balanço'!O74+'3-Balanço'!O55+'3-Balanço'!O46)</f>
        <v>0.54029429603351253</v>
      </c>
      <c r="P55" s="214">
        <f>'4-DRE'!N37/('3-Balanço'!P74+'3-Balanço'!P55+'3-Balanço'!P46)</f>
        <v>0.5630908843365463</v>
      </c>
      <c r="Q55" s="214">
        <f>'4-DRE'!O37/('3-Balanço'!Q74+'3-Balanço'!Q55+'3-Balanço'!Q46)</f>
        <v>0.57984577025461659</v>
      </c>
    </row>
    <row r="56" spans="2:17" ht="21" customHeight="1">
      <c r="D56" s="139"/>
      <c r="E56" s="139"/>
      <c r="F56" s="139"/>
    </row>
    <row r="57" spans="2:17" ht="21" customHeight="1">
      <c r="C57" s="178"/>
      <c r="D57" s="139"/>
      <c r="E57" s="139"/>
      <c r="F57" s="139"/>
    </row>
    <row r="58" spans="2:17" ht="21" customHeight="1">
      <c r="C58" s="178"/>
      <c r="D58" s="139"/>
      <c r="E58" s="139"/>
      <c r="F58" s="139"/>
    </row>
    <row r="59" spans="2:17" ht="21" customHeight="1">
      <c r="C59" s="139"/>
      <c r="D59" s="139"/>
      <c r="E59" s="139"/>
      <c r="F59" s="139"/>
    </row>
    <row r="60" spans="2:17" ht="21" customHeight="1">
      <c r="C60" s="139"/>
      <c r="D60" s="139"/>
      <c r="E60" s="139"/>
      <c r="F60" s="139"/>
    </row>
    <row r="61" spans="2:17" ht="21" customHeight="1"/>
    <row r="63" spans="2:17">
      <c r="B63" s="404"/>
      <c r="C63" s="404"/>
    </row>
  </sheetData>
  <mergeCells count="2">
    <mergeCell ref="B3:C3"/>
    <mergeCell ref="B63:C63"/>
  </mergeCells>
  <phoneticPr fontId="0" type="noConversion"/>
  <hyperlinks>
    <hyperlink ref="C1" location="Índice!A1" display="Voltar" xr:uid="{00000000-0004-0000-0800-000000000000}"/>
  </hyperlinks>
  <printOptions horizontalCentered="1"/>
  <pageMargins left="0.15748031496062992" right="0.23622047244094491" top="0.35433070866141736" bottom="0.35433070866141736" header="0.15748031496062992" footer="0.23622047244094491"/>
  <pageSetup paperSize="9" scale="81" fitToHeight="4" orientation="landscape" horizontalDpi="300" verticalDpi="300" r:id="rId1"/>
  <headerFooter alignWithMargins="0"/>
  <rowBreaks count="1" manualBreakCount="1">
    <brk id="28" min="1" max="16" man="1"/>
  </rowBreak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1:P23"/>
  <sheetViews>
    <sheetView showGridLines="0" workbookViewId="0">
      <pane xSplit="2" ySplit="4" topLeftCell="C5" activePane="bottomRight" state="frozen"/>
      <selection activeCell="G9" sqref="G9"/>
      <selection pane="topRight" activeCell="G9" sqref="G9"/>
      <selection pane="bottomLeft" activeCell="G9" sqref="G9"/>
      <selection pane="bottomRight" activeCell="B7" sqref="B7"/>
    </sheetView>
  </sheetViews>
  <sheetFormatPr defaultRowHeight="13.2"/>
  <cols>
    <col min="2" max="2" width="12.109375" bestFit="1" customWidth="1"/>
    <col min="4" max="4" width="10.33203125" customWidth="1"/>
  </cols>
  <sheetData>
    <row r="1" spans="2:16">
      <c r="B1" s="393" t="s">
        <v>353</v>
      </c>
    </row>
    <row r="2" spans="2:16" ht="17.399999999999999">
      <c r="B2" s="405" t="s">
        <v>339</v>
      </c>
      <c r="C2" s="405"/>
      <c r="D2" s="405"/>
    </row>
    <row r="3" spans="2:16" ht="13.8" thickBot="1">
      <c r="G3" s="124"/>
    </row>
    <row r="4" spans="2:16">
      <c r="B4" s="61"/>
      <c r="C4" s="108">
        <f>+'3-Balanço'!D5</f>
        <v>42004</v>
      </c>
      <c r="D4" s="108">
        <f>+'3-Balanço'!E5</f>
        <v>42369</v>
      </c>
      <c r="E4" s="108">
        <f>+'3-Balanço'!F5</f>
        <v>42735</v>
      </c>
      <c r="F4" s="108">
        <f>+'3-Balanço'!G5</f>
        <v>43100</v>
      </c>
      <c r="G4" s="108">
        <f>+'3-Balanço'!H5</f>
        <v>43465</v>
      </c>
      <c r="H4" s="108">
        <f>+'3-Balanço'!I5</f>
        <v>43830</v>
      </c>
      <c r="I4" s="108">
        <f>+'3-Balanço'!J5</f>
        <v>44196</v>
      </c>
      <c r="J4" s="108">
        <f>+'3-Balanço'!K5</f>
        <v>44561</v>
      </c>
      <c r="K4" s="108">
        <f>+'3-Balanço'!L5</f>
        <v>44926</v>
      </c>
      <c r="L4" s="108">
        <f>+'3-Balanço'!M5</f>
        <v>45291</v>
      </c>
      <c r="M4" s="108">
        <f>+'3-Balanço'!N5</f>
        <v>45657</v>
      </c>
      <c r="N4" s="108">
        <f>+'3-Balanço'!O5</f>
        <v>46022</v>
      </c>
      <c r="O4" s="108">
        <f>+'3-Balanço'!P5</f>
        <v>46387</v>
      </c>
      <c r="P4" s="108">
        <f>+'3-Balanço'!Q5</f>
        <v>46752</v>
      </c>
    </row>
    <row r="6" spans="2:16" s="210" customFormat="1" ht="17.25" customHeight="1">
      <c r="B6" s="275" t="s">
        <v>184</v>
      </c>
      <c r="C6" s="243">
        <v>0.17810000000000001</v>
      </c>
      <c r="D6" s="243">
        <v>0.21</v>
      </c>
      <c r="E6" s="244">
        <v>0.17100000000000001</v>
      </c>
      <c r="F6" s="244">
        <v>0.17</v>
      </c>
      <c r="G6" s="244">
        <v>0.16</v>
      </c>
      <c r="H6" s="244">
        <v>0.15</v>
      </c>
      <c r="I6" s="244">
        <v>0.13800000000000001</v>
      </c>
      <c r="J6" s="244">
        <v>0.13500000000000001</v>
      </c>
      <c r="K6" s="244">
        <f t="shared" ref="K6:P6" si="0">J6</f>
        <v>0.13500000000000001</v>
      </c>
      <c r="L6" s="244">
        <f t="shared" si="0"/>
        <v>0.13500000000000001</v>
      </c>
      <c r="M6" s="244">
        <f t="shared" si="0"/>
        <v>0.13500000000000001</v>
      </c>
      <c r="N6" s="244">
        <f t="shared" si="0"/>
        <v>0.13500000000000001</v>
      </c>
      <c r="O6" s="244">
        <f t="shared" si="0"/>
        <v>0.13500000000000001</v>
      </c>
      <c r="P6" s="244">
        <f t="shared" si="0"/>
        <v>0.13500000000000001</v>
      </c>
    </row>
    <row r="7" spans="2:16" s="210" customFormat="1" ht="17.25" customHeight="1">
      <c r="B7" s="275" t="s">
        <v>204</v>
      </c>
      <c r="C7" s="243">
        <v>0.16250000000000001</v>
      </c>
      <c r="D7" s="243">
        <v>0.189</v>
      </c>
      <c r="E7" s="243">
        <f t="shared" ref="E7:P7" si="1">E6-$G$3</f>
        <v>0.17100000000000001</v>
      </c>
      <c r="F7" s="243">
        <f t="shared" si="1"/>
        <v>0.17</v>
      </c>
      <c r="G7" s="243">
        <f t="shared" si="1"/>
        <v>0.16</v>
      </c>
      <c r="H7" s="243">
        <f t="shared" si="1"/>
        <v>0.15</v>
      </c>
      <c r="I7" s="243">
        <f t="shared" si="1"/>
        <v>0.13800000000000001</v>
      </c>
      <c r="J7" s="243">
        <f t="shared" si="1"/>
        <v>0.13500000000000001</v>
      </c>
      <c r="K7" s="243">
        <f t="shared" si="1"/>
        <v>0.13500000000000001</v>
      </c>
      <c r="L7" s="243">
        <f t="shared" si="1"/>
        <v>0.13500000000000001</v>
      </c>
      <c r="M7" s="243">
        <f t="shared" si="1"/>
        <v>0.13500000000000001</v>
      </c>
      <c r="N7" s="243">
        <f t="shared" si="1"/>
        <v>0.13500000000000001</v>
      </c>
      <c r="O7" s="243">
        <f t="shared" si="1"/>
        <v>0.13500000000000001</v>
      </c>
      <c r="P7" s="243">
        <f t="shared" si="1"/>
        <v>0.13500000000000001</v>
      </c>
    </row>
    <row r="8" spans="2:16" s="210" customFormat="1" ht="17.25" customHeight="1">
      <c r="B8" s="275" t="s">
        <v>261</v>
      </c>
      <c r="C8" s="243">
        <f>C6-C7</f>
        <v>1.5600000000000003E-2</v>
      </c>
      <c r="D8" s="243">
        <f>D6-D7</f>
        <v>2.0999999999999991E-2</v>
      </c>
      <c r="E8" s="243">
        <f t="shared" ref="E8:P8" si="2">E6-E7</f>
        <v>0</v>
      </c>
      <c r="F8" s="243">
        <f t="shared" si="2"/>
        <v>0</v>
      </c>
      <c r="G8" s="243">
        <f t="shared" si="2"/>
        <v>0</v>
      </c>
      <c r="H8" s="243">
        <f t="shared" si="2"/>
        <v>0</v>
      </c>
      <c r="I8" s="243">
        <f t="shared" si="2"/>
        <v>0</v>
      </c>
      <c r="J8" s="243">
        <f t="shared" si="2"/>
        <v>0</v>
      </c>
      <c r="K8" s="243">
        <f t="shared" si="2"/>
        <v>0</v>
      </c>
      <c r="L8" s="243">
        <f t="shared" si="2"/>
        <v>0</v>
      </c>
      <c r="M8" s="243">
        <f t="shared" si="2"/>
        <v>0</v>
      </c>
      <c r="N8" s="243">
        <f t="shared" si="2"/>
        <v>0</v>
      </c>
      <c r="O8" s="243">
        <f t="shared" si="2"/>
        <v>0</v>
      </c>
      <c r="P8" s="243">
        <f t="shared" si="2"/>
        <v>0</v>
      </c>
    </row>
    <row r="9" spans="2:16" s="210" customFormat="1" ht="17.25" customHeight="1">
      <c r="B9" s="275" t="s">
        <v>185</v>
      </c>
      <c r="C9" s="243">
        <v>7.4460975609756105E-2</v>
      </c>
      <c r="D9" s="243">
        <f>C9-0.0005</f>
        <v>7.3960975609756105E-2</v>
      </c>
      <c r="E9" s="243">
        <f>D9-0.0005</f>
        <v>7.3460975609756105E-2</v>
      </c>
      <c r="F9" s="243">
        <f t="shared" ref="F9:P9" si="3">E9-0.0005</f>
        <v>7.2960975609756104E-2</v>
      </c>
      <c r="G9" s="243">
        <f t="shared" si="3"/>
        <v>7.2460975609756104E-2</v>
      </c>
      <c r="H9" s="243">
        <f t="shared" si="3"/>
        <v>7.1960975609756103E-2</v>
      </c>
      <c r="I9" s="243">
        <f t="shared" si="3"/>
        <v>7.1460975609756103E-2</v>
      </c>
      <c r="J9" s="243">
        <f t="shared" si="3"/>
        <v>7.0960975609756102E-2</v>
      </c>
      <c r="K9" s="243">
        <f t="shared" si="3"/>
        <v>7.0460975609756102E-2</v>
      </c>
      <c r="L9" s="243">
        <f t="shared" si="3"/>
        <v>6.9960975609756101E-2</v>
      </c>
      <c r="M9" s="243">
        <f t="shared" si="3"/>
        <v>6.9460975609756101E-2</v>
      </c>
      <c r="N9" s="243">
        <f t="shared" si="3"/>
        <v>6.8960975609756101E-2</v>
      </c>
      <c r="O9" s="243">
        <f t="shared" si="3"/>
        <v>6.84609756097561E-2</v>
      </c>
      <c r="P9" s="243">
        <f t="shared" si="3"/>
        <v>6.79609756097561E-2</v>
      </c>
    </row>
    <row r="10" spans="2:16" s="210" customFormat="1" ht="17.25" customHeight="1">
      <c r="B10" s="275" t="s">
        <v>181</v>
      </c>
      <c r="C10" s="219">
        <f>'2-Premissas'!G80/1000000</f>
        <v>31217.083439746406</v>
      </c>
      <c r="D10" s="219">
        <f>+C10+'3-Balanço'!E74-'3-Balanço'!D74</f>
        <v>32878.626604475998</v>
      </c>
      <c r="E10" s="219">
        <f>+D10+'3-Balanço'!F74-'3-Balanço'!E74</f>
        <v>34399.227592988442</v>
      </c>
      <c r="F10" s="219">
        <f>+E10+'3-Balanço'!G74-'3-Balanço'!F74</f>
        <v>36326.528118450529</v>
      </c>
      <c r="G10" s="219">
        <f>+F10+'3-Balanço'!H74-'3-Balanço'!G74</f>
        <v>38631.803697798707</v>
      </c>
      <c r="H10" s="219">
        <f>+G10+'3-Balanço'!I74-'3-Balanço'!H74</f>
        <v>40459.616956891216</v>
      </c>
      <c r="I10" s="219">
        <f>+H10+'3-Balanço'!J74-'3-Balanço'!I74</f>
        <v>42368.637196060547</v>
      </c>
      <c r="J10" s="219">
        <f>+I10+'3-Balanço'!K74-'3-Balanço'!J74</f>
        <v>45145.419958838982</v>
      </c>
      <c r="K10" s="219">
        <f>+J10+'3-Balanço'!L74-'3-Balanço'!K74</f>
        <v>48632.404999192295</v>
      </c>
      <c r="L10" s="219">
        <f>+K10+'3-Balanço'!M74-'3-Balanço'!L74</f>
        <v>52743.30805071244</v>
      </c>
      <c r="M10" s="219">
        <f>+L10+'3-Balanço'!N74-'3-Balanço'!M74</f>
        <v>57714.657186858494</v>
      </c>
      <c r="N10" s="219">
        <f>+M10+'3-Balanço'!O74-'3-Balanço'!N74</f>
        <v>63684.576773088163</v>
      </c>
      <c r="O10" s="219">
        <f>+N10+'3-Balanço'!P74-'3-Balanço'!O74</f>
        <v>70859.837740166753</v>
      </c>
      <c r="P10" s="219">
        <f>+O10+'3-Balanço'!Q74-'3-Balanço'!P74</f>
        <v>79457.135808096631</v>
      </c>
    </row>
    <row r="11" spans="2:16" s="210" customFormat="1" ht="17.25" customHeight="1">
      <c r="B11" s="275" t="s">
        <v>182</v>
      </c>
      <c r="C11" s="219">
        <f>-SUM('9-Financiamentos'!C34:$T$34)</f>
        <v>4018.0000000000005</v>
      </c>
      <c r="D11" s="219">
        <f>-SUM('9-Financiamentos'!D34:$T$34)</f>
        <v>4104</v>
      </c>
      <c r="E11" s="219">
        <f>-SUM('9-Financiamentos'!E34:$T$34)</f>
        <v>4395</v>
      </c>
      <c r="F11" s="219">
        <f>-SUM('9-Financiamentos'!F34:$T$34)</f>
        <v>5011.0000000000009</v>
      </c>
      <c r="G11" s="219">
        <f>-SUM('9-Financiamentos'!G34:$T$34)</f>
        <v>5883.0000000000009</v>
      </c>
      <c r="H11" s="219">
        <f>-SUM('9-Financiamentos'!H34:$T$34)</f>
        <v>3947.6000000000004</v>
      </c>
      <c r="I11" s="219">
        <f>-SUM('9-Financiamentos'!I34:$T$34)</f>
        <v>4287</v>
      </c>
      <c r="J11" s="219">
        <f>-SUM('9-Financiamentos'!J34:$T$34)</f>
        <v>4621.2000000000007</v>
      </c>
      <c r="K11" s="219">
        <f>-SUM('9-Financiamentos'!K34:$T$34)</f>
        <v>4522.3999999999996</v>
      </c>
      <c r="L11" s="219">
        <f>-SUM('9-Financiamentos'!L34:$T$34)</f>
        <v>4462.3999999999996</v>
      </c>
      <c r="M11" s="219">
        <f>-SUM('9-Financiamentos'!M34:$T$34)</f>
        <v>3510.2000000000003</v>
      </c>
      <c r="N11" s="219">
        <f>-SUM('9-Financiamentos'!N34:$T$34)</f>
        <v>2629.2000000000003</v>
      </c>
      <c r="O11" s="219">
        <f>-SUM('9-Financiamentos'!O34:$T$34)</f>
        <v>1842.4</v>
      </c>
      <c r="P11" s="219">
        <f>-SUM('9-Financiamentos'!P34:$T$34)</f>
        <v>1055.5999999999999</v>
      </c>
    </row>
    <row r="12" spans="2:16" s="210" customFormat="1" ht="17.25" customHeight="1">
      <c r="B12" s="275" t="s">
        <v>203</v>
      </c>
      <c r="C12" s="219">
        <f>-NPV(C9,'9-Financiamentos'!C32:$T$32)</f>
        <v>9581.2862645849946</v>
      </c>
      <c r="D12" s="219"/>
      <c r="E12" s="219"/>
      <c r="F12" s="219"/>
      <c r="G12" s="219"/>
      <c r="H12" s="219"/>
      <c r="I12" s="219"/>
      <c r="J12" s="219"/>
      <c r="K12" s="219"/>
      <c r="L12" s="219"/>
      <c r="M12" s="219"/>
      <c r="N12" s="219"/>
      <c r="O12" s="219"/>
      <c r="P12" s="219"/>
    </row>
    <row r="13" spans="2:16" s="210" customFormat="1" ht="17.25" customHeight="1">
      <c r="B13" s="275" t="s">
        <v>188</v>
      </c>
      <c r="C13" s="243">
        <f>C10/(C10+C11)</f>
        <v>0.88596592918898676</v>
      </c>
      <c r="D13" s="243">
        <f t="shared" ref="D13:P13" si="4">D10/(D10+D11)</f>
        <v>0.88902897449952101</v>
      </c>
      <c r="E13" s="243">
        <f t="shared" si="4"/>
        <v>0.88670994958037674</v>
      </c>
      <c r="F13" s="243">
        <f t="shared" si="4"/>
        <v>0.87877843141367229</v>
      </c>
      <c r="G13" s="243">
        <f t="shared" si="4"/>
        <v>0.867841717556739</v>
      </c>
      <c r="H13" s="243">
        <f t="shared" si="4"/>
        <v>0.91110453952040782</v>
      </c>
      <c r="I13" s="243">
        <f t="shared" si="4"/>
        <v>0.90811399741504373</v>
      </c>
      <c r="J13" s="243">
        <f t="shared" si="4"/>
        <v>0.90714257862354108</v>
      </c>
      <c r="K13" s="243">
        <f t="shared" si="4"/>
        <v>0.91492020335567559</v>
      </c>
      <c r="L13" s="243">
        <f t="shared" si="4"/>
        <v>0.92199379831040429</v>
      </c>
      <c r="M13" s="243">
        <f t="shared" si="4"/>
        <v>0.94266707737207367</v>
      </c>
      <c r="N13" s="243">
        <f t="shared" si="4"/>
        <v>0.96035213001068287</v>
      </c>
      <c r="O13" s="243">
        <f t="shared" si="4"/>
        <v>0.97465827659136683</v>
      </c>
      <c r="P13" s="243">
        <f t="shared" si="4"/>
        <v>0.98688903079239487</v>
      </c>
    </row>
    <row r="14" spans="2:16" s="210" customFormat="1" ht="17.25" customHeight="1">
      <c r="B14" s="275" t="s">
        <v>189</v>
      </c>
      <c r="C14" s="243">
        <f>C11/(C10+C11)</f>
        <v>0.1140340708110132</v>
      </c>
      <c r="D14" s="243">
        <f t="shared" ref="D14:P14" si="5">D11/(D10+D11)</f>
        <v>0.11097102550047902</v>
      </c>
      <c r="E14" s="243">
        <f t="shared" si="5"/>
        <v>0.11329005041962324</v>
      </c>
      <c r="F14" s="243">
        <f t="shared" si="5"/>
        <v>0.12122156858632771</v>
      </c>
      <c r="G14" s="243">
        <f t="shared" si="5"/>
        <v>0.132158282443261</v>
      </c>
      <c r="H14" s="243">
        <f t="shared" si="5"/>
        <v>8.8895460479592223E-2</v>
      </c>
      <c r="I14" s="243">
        <f t="shared" si="5"/>
        <v>9.1886002584956245E-2</v>
      </c>
      <c r="J14" s="243">
        <f t="shared" si="5"/>
        <v>9.2857421376458887E-2</v>
      </c>
      <c r="K14" s="243">
        <f t="shared" si="5"/>
        <v>8.5079796644324426E-2</v>
      </c>
      <c r="L14" s="243">
        <f t="shared" si="5"/>
        <v>7.8006201689595642E-2</v>
      </c>
      <c r="M14" s="243">
        <f t="shared" si="5"/>
        <v>5.7332922627926379E-2</v>
      </c>
      <c r="N14" s="243">
        <f t="shared" si="5"/>
        <v>3.9647869989317172E-2</v>
      </c>
      <c r="O14" s="243">
        <f t="shared" si="5"/>
        <v>2.5341723408633204E-2</v>
      </c>
      <c r="P14" s="243">
        <f t="shared" si="5"/>
        <v>1.3110969207605105E-2</v>
      </c>
    </row>
    <row r="15" spans="2:16" s="210" customFormat="1" ht="17.25" customHeight="1">
      <c r="B15" s="276" t="s">
        <v>265</v>
      </c>
      <c r="C15" s="245">
        <f>$C$16/(1+(C11/C10*(1-'2-Premissas'!C47)))</f>
        <v>0.82058582870861851</v>
      </c>
      <c r="D15" s="246"/>
      <c r="E15" s="246"/>
      <c r="F15" s="246"/>
      <c r="G15" s="246"/>
      <c r="H15" s="246"/>
      <c r="I15" s="246"/>
      <c r="J15" s="246"/>
      <c r="K15" s="246"/>
      <c r="L15" s="246"/>
      <c r="M15" s="246"/>
      <c r="N15" s="246"/>
      <c r="O15" s="246"/>
      <c r="P15" s="246"/>
    </row>
    <row r="16" spans="2:16" s="210" customFormat="1" ht="17.25" customHeight="1">
      <c r="B16" s="276" t="s">
        <v>266</v>
      </c>
      <c r="C16" s="246">
        <v>0.89980000000000004</v>
      </c>
      <c r="D16" s="245">
        <f>$C$15*(1+'7-Cálculos'!D11/'7-Cálculos'!D10*(1-'2-Premissas'!D47))</f>
        <v>0.8881881536418238</v>
      </c>
      <c r="E16" s="245">
        <f>$C$15*(1+'7-Cálculos'!E11/'7-Cálculos'!E10*(1-'2-Premissas'!E47))</f>
        <v>0.88978137407081315</v>
      </c>
      <c r="F16" s="245">
        <f>$C$15*(1+'7-Cálculos'!F11/'7-Cálculos'!F10*(1-'2-Premissas'!F47))</f>
        <v>0.8952940606377926</v>
      </c>
      <c r="G16" s="245">
        <f>$C$15*(1+'7-Cálculos'!G11/'7-Cálculos'!G10*(1-'2-Premissas'!G47))</f>
        <v>0.90306073122461994</v>
      </c>
      <c r="H16" s="245">
        <f>$C$15*(1+'7-Cálculos'!H11/'7-Cálculos'!H10*(1-'2-Premissas'!H47))</f>
        <v>0.87342783781040134</v>
      </c>
      <c r="I16" s="245">
        <f>$C$15*(1+'7-Cálculos'!I11/'7-Cálculos'!I10*(1-'2-Premissas'!I47))</f>
        <v>0.87538537169889008</v>
      </c>
      <c r="J16" s="245">
        <f>$C$15*(1+'7-Cálculos'!J11/'7-Cálculos'!J10*(1-'2-Premissas'!J47))</f>
        <v>0.87602401524352169</v>
      </c>
      <c r="K16" s="245">
        <f>$C$15*(1+'7-Cálculos'!K11/'7-Cálculos'!K10*(1-'2-Premissas'!K47))</f>
        <v>0.87094878016448218</v>
      </c>
      <c r="L16" s="245">
        <f>$C$15*(1+'7-Cálculos'!L11/'7-Cálculos'!L10*(1-'2-Premissas'!L47))</f>
        <v>0.86640730526476561</v>
      </c>
      <c r="M16" s="245">
        <f>$C$15*(1+'7-Cálculos'!M11/'7-Cálculos'!M10*(1-'2-Premissas'!M47))</f>
        <v>0.85352507743292094</v>
      </c>
      <c r="N16" s="245">
        <f>$C$15*(1+'7-Cálculos'!N11/'7-Cálculos'!N10*(1-'2-Premissas'!N47))</f>
        <v>0.8429450824605661</v>
      </c>
      <c r="O16" s="245">
        <f>$C$15*(1+'7-Cálculos'!O11/'7-Cálculos'!O10*(1-'2-Premissas'!O47))</f>
        <v>0.83466741949627021</v>
      </c>
      <c r="P16" s="245">
        <f>$C$15*(1+'7-Cálculos'!P11/'7-Cálculos'!P10*(1-'2-Premissas'!P47))</f>
        <v>0.83148743486362597</v>
      </c>
    </row>
    <row r="17" spans="2:16" s="210" customFormat="1" ht="17.25" customHeight="1">
      <c r="B17" s="275" t="s">
        <v>186</v>
      </c>
      <c r="C17" s="243">
        <f>C7+C16*(C6-C7)</f>
        <v>0.17653688000000001</v>
      </c>
      <c r="D17" s="243">
        <f>D7+D16*(D6-D7)</f>
        <v>0.20765195122647828</v>
      </c>
      <c r="E17" s="243">
        <f t="shared" ref="E17:P17" si="6">E7+E16*(E6-E7)</f>
        <v>0.17100000000000001</v>
      </c>
      <c r="F17" s="243">
        <f t="shared" si="6"/>
        <v>0.17</v>
      </c>
      <c r="G17" s="243">
        <f t="shared" si="6"/>
        <v>0.16</v>
      </c>
      <c r="H17" s="243">
        <f t="shared" si="6"/>
        <v>0.15</v>
      </c>
      <c r="I17" s="243">
        <f t="shared" si="6"/>
        <v>0.13800000000000001</v>
      </c>
      <c r="J17" s="243">
        <f t="shared" si="6"/>
        <v>0.13500000000000001</v>
      </c>
      <c r="K17" s="243">
        <f t="shared" si="6"/>
        <v>0.13500000000000001</v>
      </c>
      <c r="L17" s="243">
        <f t="shared" si="6"/>
        <v>0.13500000000000001</v>
      </c>
      <c r="M17" s="243">
        <f t="shared" si="6"/>
        <v>0.13500000000000001</v>
      </c>
      <c r="N17" s="243">
        <f t="shared" si="6"/>
        <v>0.13500000000000001</v>
      </c>
      <c r="O17" s="243">
        <f t="shared" si="6"/>
        <v>0.13500000000000001</v>
      </c>
      <c r="P17" s="243">
        <f t="shared" si="6"/>
        <v>0.13500000000000001</v>
      </c>
    </row>
    <row r="18" spans="2:16" s="210" customFormat="1" ht="17.25" customHeight="1">
      <c r="B18" s="275" t="s">
        <v>187</v>
      </c>
      <c r="C18" s="243">
        <f>C9*(1-'2-Premissas'!C47)</f>
        <v>5.5845731707317076E-2</v>
      </c>
      <c r="D18" s="243">
        <f>D9*(1-'2-Premissas'!C47)</f>
        <v>5.5470731707317075E-2</v>
      </c>
      <c r="E18" s="243">
        <f>E9*(1-'2-Premissas'!D47)</f>
        <v>4.8484243902439023E-2</v>
      </c>
      <c r="F18" s="243">
        <f>F9*(1-'2-Premissas'!E47)</f>
        <v>4.8154243902439026E-2</v>
      </c>
      <c r="G18" s="243">
        <f>G9*(1-'2-Premissas'!F47)</f>
        <v>4.7824243902439022E-2</v>
      </c>
      <c r="H18" s="243">
        <f>H9*(1-'2-Premissas'!G47)</f>
        <v>4.7494243902439025E-2</v>
      </c>
      <c r="I18" s="243">
        <f>I9*(1-'2-Premissas'!H47)</f>
        <v>4.7164243902439021E-2</v>
      </c>
      <c r="J18" s="243">
        <f>J9*(1-'2-Premissas'!I47)</f>
        <v>4.6834243902439024E-2</v>
      </c>
      <c r="K18" s="243">
        <f>K9*(1-'2-Premissas'!J47)</f>
        <v>4.650424390243902E-2</v>
      </c>
      <c r="L18" s="243">
        <f>L9*(1-'2-Premissas'!K47)</f>
        <v>4.6174243902439023E-2</v>
      </c>
      <c r="M18" s="243">
        <f>M9*(1-'2-Premissas'!L47)</f>
        <v>4.5844243902439019E-2</v>
      </c>
      <c r="N18" s="243">
        <f>N9*(1-'2-Premissas'!M47)</f>
        <v>4.5514243902439022E-2</v>
      </c>
      <c r="O18" s="243">
        <f>O9*(1-'2-Premissas'!N47)</f>
        <v>4.5184243902439018E-2</v>
      </c>
      <c r="P18" s="243">
        <f>P9*(1-'2-Premissas'!O47)</f>
        <v>4.4854243902439021E-2</v>
      </c>
    </row>
    <row r="19" spans="2:16" s="210" customFormat="1" ht="17.25" customHeight="1">
      <c r="B19" s="275" t="s">
        <v>183</v>
      </c>
      <c r="C19" s="244">
        <f>C17*C13+C18*C14</f>
        <v>0.16277397704932969</v>
      </c>
      <c r="D19" s="244">
        <f>D17*D13+D18*D14</f>
        <v>0.19076424523452346</v>
      </c>
      <c r="E19" s="244">
        <f t="shared" ref="E19:P19" si="7">E17*E13+E18*E14</f>
        <v>0.15712018381450907</v>
      </c>
      <c r="F19" s="244">
        <f t="shared" si="7"/>
        <v>0.15522966632026658</v>
      </c>
      <c r="G19" s="244">
        <f t="shared" si="7"/>
        <v>0.14517504474237217</v>
      </c>
      <c r="H19" s="244">
        <f t="shared" si="7"/>
        <v>0.14088770360989855</v>
      </c>
      <c r="I19" s="244">
        <f t="shared" si="7"/>
        <v>0.12965346548041307</v>
      </c>
      <c r="J19" s="244">
        <f t="shared" si="7"/>
        <v>0.12681315523507469</v>
      </c>
      <c r="K19" s="244">
        <f t="shared" si="7"/>
        <v>0.1274707990673338</v>
      </c>
      <c r="L19" s="244">
        <f t="shared" si="7"/>
        <v>0.12807104015462284</v>
      </c>
      <c r="M19" s="244">
        <f t="shared" si="7"/>
        <v>0.12988843993382426</v>
      </c>
      <c r="N19" s="244">
        <f t="shared" si="7"/>
        <v>0.13145208037634817</v>
      </c>
      <c r="O19" s="244">
        <f t="shared" si="7"/>
        <v>0.13272391395123836</v>
      </c>
      <c r="P19" s="244">
        <f t="shared" si="7"/>
        <v>0.13381810176760861</v>
      </c>
    </row>
    <row r="20" spans="2:16" s="210" customFormat="1" ht="17.25" customHeight="1">
      <c r="B20" s="277"/>
    </row>
    <row r="21" spans="2:16" s="210" customFormat="1" ht="17.25" customHeight="1">
      <c r="B21" s="275" t="s">
        <v>259</v>
      </c>
      <c r="C21" s="247">
        <v>5.0999999999999997E-2</v>
      </c>
      <c r="D21" s="247">
        <v>3.5000000000000003E-2</v>
      </c>
      <c r="E21" s="247">
        <v>0.04</v>
      </c>
      <c r="F21" s="247">
        <v>0.04</v>
      </c>
      <c r="G21" s="247">
        <v>0.04</v>
      </c>
      <c r="H21" s="247">
        <v>3.7999999999999999E-2</v>
      </c>
      <c r="I21" s="247">
        <v>3.5000000000000003E-2</v>
      </c>
      <c r="J21" s="247">
        <v>0.03</v>
      </c>
      <c r="K21" s="247">
        <f t="shared" ref="K21:P21" si="8">J21</f>
        <v>0.03</v>
      </c>
      <c r="L21" s="247">
        <f t="shared" si="8"/>
        <v>0.03</v>
      </c>
      <c r="M21" s="247">
        <f t="shared" si="8"/>
        <v>0.03</v>
      </c>
      <c r="N21" s="247">
        <f t="shared" si="8"/>
        <v>0.03</v>
      </c>
      <c r="O21" s="247">
        <f t="shared" si="8"/>
        <v>0.03</v>
      </c>
      <c r="P21" s="247">
        <f t="shared" si="8"/>
        <v>0.03</v>
      </c>
    </row>
    <row r="22" spans="2:16" s="210" customFormat="1" ht="17.25" customHeight="1">
      <c r="B22" s="275" t="s">
        <v>260</v>
      </c>
      <c r="C22" s="247">
        <v>7.5999999999999998E-2</v>
      </c>
      <c r="D22" s="247">
        <v>0.06</v>
      </c>
      <c r="E22" s="247">
        <v>5.5E-2</v>
      </c>
      <c r="F22" s="247">
        <v>0.05</v>
      </c>
      <c r="G22" s="247">
        <v>4.4999999999999998E-2</v>
      </c>
      <c r="H22" s="247">
        <v>3.5000000000000003E-2</v>
      </c>
      <c r="I22" s="247">
        <f t="shared" ref="I22:P22" si="9">H22</f>
        <v>3.5000000000000003E-2</v>
      </c>
      <c r="J22" s="247">
        <f t="shared" si="9"/>
        <v>3.5000000000000003E-2</v>
      </c>
      <c r="K22" s="247">
        <f t="shared" si="9"/>
        <v>3.5000000000000003E-2</v>
      </c>
      <c r="L22" s="247">
        <f t="shared" si="9"/>
        <v>3.5000000000000003E-2</v>
      </c>
      <c r="M22" s="247">
        <f t="shared" si="9"/>
        <v>3.5000000000000003E-2</v>
      </c>
      <c r="N22" s="247">
        <f t="shared" si="9"/>
        <v>3.5000000000000003E-2</v>
      </c>
      <c r="O22" s="247">
        <f t="shared" si="9"/>
        <v>3.5000000000000003E-2</v>
      </c>
      <c r="P22" s="247">
        <f t="shared" si="9"/>
        <v>3.5000000000000003E-2</v>
      </c>
    </row>
    <row r="23" spans="2:16" s="210" customFormat="1" ht="17.25" customHeight="1">
      <c r="B23" s="275" t="s">
        <v>264</v>
      </c>
      <c r="C23" s="248">
        <v>2.65</v>
      </c>
      <c r="D23" s="248">
        <v>2.5</v>
      </c>
      <c r="E23" s="248">
        <v>2.9</v>
      </c>
      <c r="F23" s="248">
        <v>3.1</v>
      </c>
      <c r="G23" s="248">
        <v>3.2</v>
      </c>
      <c r="H23" s="248">
        <f>G23*H22+G23</f>
        <v>3.3120000000000003</v>
      </c>
      <c r="I23" s="248">
        <f>H23*I22+H23</f>
        <v>3.4279200000000003</v>
      </c>
      <c r="J23" s="248">
        <f t="shared" ref="J23:P23" si="10">I23*J22+I23</f>
        <v>3.5478972000000004</v>
      </c>
      <c r="K23" s="248">
        <f t="shared" si="10"/>
        <v>3.6720736020000007</v>
      </c>
      <c r="L23" s="248">
        <f t="shared" si="10"/>
        <v>3.8005961780700006</v>
      </c>
      <c r="M23" s="248">
        <f t="shared" si="10"/>
        <v>3.9336170443024505</v>
      </c>
      <c r="N23" s="248">
        <f t="shared" si="10"/>
        <v>4.0712936408530362</v>
      </c>
      <c r="O23" s="248">
        <f t="shared" si="10"/>
        <v>4.2137889182828925</v>
      </c>
      <c r="P23" s="248">
        <f t="shared" si="10"/>
        <v>4.361271530422794</v>
      </c>
    </row>
  </sheetData>
  <mergeCells count="1">
    <mergeCell ref="B2:D2"/>
  </mergeCells>
  <phoneticPr fontId="0" type="noConversion"/>
  <hyperlinks>
    <hyperlink ref="B1" location="Índice!A1" display="Voltar" xr:uid="{00000000-0004-0000-0900-000000000000}"/>
  </hyperlinks>
  <pageMargins left="0.78740157480314965" right="0.78740157480314965" top="0.98425196850393704" bottom="0.98425196850393704" header="0.51181102362204722" footer="0.51181102362204722"/>
  <pageSetup paperSize="9" scale="99" orientation="landscape" r:id="rId1"/>
  <headerFooter alignWithMargins="0"/>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indexed="32"/>
    <pageSetUpPr fitToPage="1"/>
  </sheetPr>
  <dimension ref="B1:R62"/>
  <sheetViews>
    <sheetView zoomScale="85" workbookViewId="0">
      <selection activeCell="B1" sqref="B1"/>
    </sheetView>
  </sheetViews>
  <sheetFormatPr defaultRowHeight="13.2"/>
  <cols>
    <col min="1" max="1" width="2.109375" customWidth="1"/>
    <col min="2" max="2" width="32" bestFit="1" customWidth="1"/>
    <col min="9" max="14" width="6.5546875" bestFit="1" customWidth="1"/>
    <col min="15" max="15" width="6.33203125" bestFit="1" customWidth="1"/>
    <col min="16" max="16" width="6.5546875" bestFit="1" customWidth="1"/>
  </cols>
  <sheetData>
    <row r="1" spans="2:18">
      <c r="B1" s="393" t="s">
        <v>353</v>
      </c>
    </row>
    <row r="3" spans="2:18">
      <c r="B3" t="s">
        <v>150</v>
      </c>
    </row>
    <row r="4" spans="2:18" ht="13.8" thickBot="1"/>
    <row r="5" spans="2:18">
      <c r="B5" s="82"/>
      <c r="C5" s="82">
        <f>+'3-Balanço'!E5</f>
        <v>42369</v>
      </c>
      <c r="D5" s="82">
        <f>+'3-Balanço'!F5</f>
        <v>42735</v>
      </c>
      <c r="E5" s="82">
        <f>+'3-Balanço'!G5</f>
        <v>43100</v>
      </c>
      <c r="F5" s="82">
        <f>+'3-Balanço'!H5</f>
        <v>43465</v>
      </c>
      <c r="G5" s="82">
        <f>+'3-Balanço'!I5</f>
        <v>43830</v>
      </c>
      <c r="H5" s="82">
        <f>+'3-Balanço'!J5</f>
        <v>44196</v>
      </c>
      <c r="I5" s="82">
        <f>+'3-Balanço'!K5</f>
        <v>44561</v>
      </c>
      <c r="J5" s="82">
        <f>+'3-Balanço'!L5</f>
        <v>44926</v>
      </c>
      <c r="K5" s="82">
        <f>+'3-Balanço'!M5</f>
        <v>45291</v>
      </c>
      <c r="L5" s="82">
        <f>+'3-Balanço'!N5</f>
        <v>45657</v>
      </c>
      <c r="M5" s="82">
        <f>+'3-Balanço'!O5</f>
        <v>46022</v>
      </c>
      <c r="N5" s="82">
        <f>+'3-Balanço'!P5</f>
        <v>46387</v>
      </c>
      <c r="O5" s="82">
        <f>+'3-Balanço'!Q5</f>
        <v>46752</v>
      </c>
      <c r="P5" s="82" t="s">
        <v>192</v>
      </c>
    </row>
    <row r="6" spans="2:18">
      <c r="C6" s="38"/>
      <c r="D6" s="38"/>
      <c r="E6" s="38"/>
      <c r="F6" s="38"/>
      <c r="G6" s="38"/>
      <c r="H6" s="38"/>
      <c r="I6" s="38"/>
      <c r="J6" s="38"/>
      <c r="K6" s="38"/>
      <c r="L6" s="38"/>
      <c r="M6" s="38"/>
      <c r="N6" s="38"/>
      <c r="O6" s="38"/>
    </row>
    <row r="7" spans="2:18">
      <c r="B7" s="107" t="s">
        <v>168</v>
      </c>
      <c r="C7" s="111"/>
      <c r="D7" s="111"/>
      <c r="E7" s="111"/>
      <c r="F7" s="111"/>
      <c r="G7" s="111"/>
      <c r="H7" s="111"/>
      <c r="I7" s="111"/>
      <c r="J7" s="111"/>
      <c r="K7" s="111"/>
      <c r="L7" s="111"/>
      <c r="M7" s="111"/>
      <c r="N7" s="111"/>
      <c r="O7" s="111"/>
      <c r="P7" s="111"/>
    </row>
    <row r="8" spans="2:18">
      <c r="B8" s="109" t="s">
        <v>170</v>
      </c>
      <c r="C8" s="111">
        <v>1266</v>
      </c>
      <c r="D8" s="111">
        <v>478</v>
      </c>
      <c r="E8" s="111">
        <f>606+100</f>
        <v>706</v>
      </c>
      <c r="F8" s="111">
        <f>410+120</f>
        <v>530</v>
      </c>
      <c r="G8" s="111"/>
      <c r="H8" s="111">
        <v>100</v>
      </c>
      <c r="I8" s="111"/>
      <c r="J8" s="111"/>
      <c r="K8" s="111"/>
      <c r="L8" s="111"/>
      <c r="M8" s="111"/>
      <c r="N8" s="111"/>
      <c r="O8" s="111"/>
      <c r="P8" s="111">
        <f t="shared" ref="P8:P22" si="0">SUM(C8:O8)</f>
        <v>3080</v>
      </c>
    </row>
    <row r="9" spans="2:18">
      <c r="B9" s="109" t="s">
        <v>171</v>
      </c>
      <c r="C9" s="111">
        <v>303</v>
      </c>
      <c r="D9" s="111">
        <v>658.2</v>
      </c>
      <c r="E9" s="111">
        <v>234</v>
      </c>
      <c r="F9" s="111">
        <f>219.4-15</f>
        <v>204.4</v>
      </c>
      <c r="G9" s="111">
        <v>500</v>
      </c>
      <c r="H9" s="111">
        <f>180+300</f>
        <v>480</v>
      </c>
      <c r="I9" s="111"/>
      <c r="J9" s="111"/>
      <c r="K9" s="111"/>
      <c r="L9" s="111"/>
      <c r="M9" s="111"/>
      <c r="N9" s="111"/>
      <c r="O9" s="111"/>
      <c r="P9" s="111">
        <f t="shared" si="0"/>
        <v>2379.6000000000004</v>
      </c>
    </row>
    <row r="10" spans="2:18">
      <c r="B10" s="110" t="s">
        <v>169</v>
      </c>
      <c r="C10" s="111">
        <v>760</v>
      </c>
      <c r="D10" s="111"/>
      <c r="E10" s="111"/>
      <c r="F10" s="111"/>
      <c r="G10" s="111"/>
      <c r="H10" s="111"/>
      <c r="I10" s="111"/>
      <c r="J10" s="111"/>
      <c r="K10" s="111"/>
      <c r="L10" s="111"/>
      <c r="M10" s="111"/>
      <c r="N10" s="111"/>
      <c r="O10" s="111"/>
      <c r="P10" s="111">
        <f t="shared" si="0"/>
        <v>760</v>
      </c>
    </row>
    <row r="11" spans="2:18">
      <c r="B11" s="110" t="s">
        <v>49</v>
      </c>
      <c r="C11" s="111">
        <v>537</v>
      </c>
      <c r="D11" s="111">
        <v>290</v>
      </c>
      <c r="E11" s="111">
        <v>300</v>
      </c>
      <c r="F11" s="111">
        <v>280</v>
      </c>
      <c r="G11" s="111">
        <v>280</v>
      </c>
      <c r="H11" s="111"/>
      <c r="I11" s="111"/>
      <c r="J11" s="111"/>
      <c r="K11" s="111"/>
      <c r="L11" s="111"/>
      <c r="M11" s="111"/>
      <c r="N11" s="111"/>
      <c r="O11" s="111"/>
      <c r="P11" s="111">
        <f t="shared" si="0"/>
        <v>1687</v>
      </c>
    </row>
    <row r="12" spans="2:18">
      <c r="B12" s="112" t="s">
        <v>172</v>
      </c>
      <c r="C12" s="111">
        <v>136</v>
      </c>
      <c r="D12" s="111">
        <v>20</v>
      </c>
      <c r="E12" s="111"/>
      <c r="F12" s="111"/>
      <c r="G12" s="111">
        <v>843</v>
      </c>
      <c r="H12" s="111"/>
      <c r="J12" s="111"/>
      <c r="K12" s="111"/>
      <c r="L12" s="111"/>
      <c r="M12" s="111"/>
      <c r="N12" s="111"/>
      <c r="O12" s="111"/>
      <c r="P12" s="111">
        <f t="shared" si="0"/>
        <v>999</v>
      </c>
      <c r="R12" s="111"/>
    </row>
    <row r="13" spans="2:18">
      <c r="B13" s="109" t="s">
        <v>173</v>
      </c>
      <c r="C13" s="111">
        <v>109</v>
      </c>
      <c r="D13" s="111">
        <v>100</v>
      </c>
      <c r="E13" s="111"/>
      <c r="F13" s="111"/>
      <c r="G13" s="111">
        <v>150</v>
      </c>
      <c r="H13" s="111"/>
      <c r="I13" s="111"/>
      <c r="J13" s="111"/>
      <c r="K13" s="111"/>
      <c r="L13" s="111"/>
      <c r="M13" s="111"/>
      <c r="N13" s="111"/>
      <c r="O13" s="111"/>
      <c r="P13" s="111">
        <f t="shared" si="0"/>
        <v>359</v>
      </c>
    </row>
    <row r="14" spans="2:18">
      <c r="B14" s="110" t="s">
        <v>50</v>
      </c>
      <c r="C14" s="111">
        <v>221</v>
      </c>
      <c r="D14" s="111"/>
      <c r="E14" s="111"/>
      <c r="F14" s="111"/>
      <c r="G14" s="111"/>
      <c r="H14" s="111"/>
      <c r="I14" s="111"/>
      <c r="J14" s="111"/>
      <c r="K14" s="111"/>
      <c r="L14" s="111"/>
      <c r="M14" s="111"/>
      <c r="N14" s="111"/>
      <c r="O14" s="111"/>
      <c r="P14" s="111">
        <f t="shared" si="0"/>
        <v>221</v>
      </c>
    </row>
    <row r="15" spans="2:18">
      <c r="B15" s="110"/>
      <c r="C15" s="111"/>
      <c r="D15" s="111"/>
      <c r="E15" s="111"/>
      <c r="F15" s="111"/>
      <c r="G15" s="111"/>
      <c r="H15" s="111"/>
      <c r="I15" s="111"/>
      <c r="J15" s="111"/>
      <c r="K15" s="111"/>
      <c r="L15" s="111"/>
      <c r="M15" s="111"/>
      <c r="N15" s="111"/>
      <c r="O15" s="111"/>
      <c r="P15" s="111">
        <f t="shared" si="0"/>
        <v>0</v>
      </c>
    </row>
    <row r="16" spans="2:18">
      <c r="B16" s="110" t="s">
        <v>178</v>
      </c>
      <c r="C16" s="111"/>
      <c r="D16" s="111"/>
      <c r="E16" s="111">
        <v>50</v>
      </c>
      <c r="F16" s="111">
        <v>200</v>
      </c>
      <c r="G16" s="111">
        <v>150</v>
      </c>
      <c r="H16" s="111">
        <v>150</v>
      </c>
      <c r="I16" s="111"/>
      <c r="J16" s="111"/>
      <c r="K16" s="111"/>
      <c r="L16" s="111"/>
      <c r="M16" s="111"/>
      <c r="N16" s="111"/>
      <c r="O16" s="111"/>
      <c r="P16" s="111">
        <f t="shared" si="0"/>
        <v>550</v>
      </c>
    </row>
    <row r="17" spans="2:17">
      <c r="B17" s="110"/>
      <c r="C17" s="111"/>
      <c r="D17" s="111"/>
      <c r="E17" s="111"/>
      <c r="F17" s="111"/>
      <c r="G17" s="111"/>
      <c r="H17" s="111"/>
      <c r="I17" s="111"/>
      <c r="J17" s="111"/>
      <c r="K17" s="111"/>
      <c r="L17" s="111"/>
      <c r="M17" s="111"/>
      <c r="N17" s="111"/>
      <c r="O17" s="111"/>
      <c r="P17" s="111">
        <f t="shared" si="0"/>
        <v>0</v>
      </c>
    </row>
    <row r="18" spans="2:17">
      <c r="B18" s="110" t="s">
        <v>179</v>
      </c>
      <c r="C18" s="111"/>
      <c r="D18" s="111"/>
      <c r="E18" s="111">
        <v>1000</v>
      </c>
      <c r="F18" s="111"/>
      <c r="G18" s="111"/>
      <c r="H18" s="111"/>
      <c r="I18" s="111"/>
      <c r="J18" s="111"/>
      <c r="K18" s="111"/>
      <c r="L18" s="111"/>
      <c r="M18" s="111"/>
      <c r="N18" s="111"/>
      <c r="O18" s="111"/>
      <c r="P18" s="111">
        <f t="shared" si="0"/>
        <v>1000</v>
      </c>
    </row>
    <row r="19" spans="2:17">
      <c r="B19" s="110" t="s">
        <v>176</v>
      </c>
      <c r="C19" s="111"/>
      <c r="D19" s="111"/>
      <c r="E19" s="111"/>
      <c r="F19" s="111"/>
      <c r="G19" s="111"/>
      <c r="H19" s="111"/>
      <c r="I19" s="111"/>
      <c r="J19" s="111"/>
      <c r="K19" s="111"/>
      <c r="L19" s="111"/>
      <c r="M19" s="111"/>
      <c r="N19" s="111"/>
      <c r="O19" s="111"/>
      <c r="P19" s="111">
        <f t="shared" si="0"/>
        <v>0</v>
      </c>
    </row>
    <row r="20" spans="2:17">
      <c r="B20" s="110"/>
      <c r="C20" s="111"/>
      <c r="D20" s="111"/>
      <c r="E20" s="111"/>
      <c r="F20" s="111"/>
      <c r="G20" s="111"/>
      <c r="H20" s="111"/>
      <c r="I20" s="111"/>
      <c r="J20" s="111"/>
      <c r="K20" s="111"/>
      <c r="L20" s="111"/>
      <c r="M20" s="111"/>
      <c r="N20" s="111"/>
      <c r="O20" s="111"/>
      <c r="P20" s="111">
        <f t="shared" si="0"/>
        <v>0</v>
      </c>
    </row>
    <row r="21" spans="2:17">
      <c r="D21" s="111"/>
      <c r="E21" s="111"/>
      <c r="F21" s="111"/>
      <c r="G21" s="111"/>
      <c r="H21" s="111"/>
      <c r="I21" s="111"/>
      <c r="J21" s="111"/>
      <c r="K21" s="111"/>
      <c r="L21" s="111"/>
      <c r="M21" s="111"/>
      <c r="N21" s="111"/>
      <c r="O21" s="111"/>
      <c r="P21" s="111">
        <f t="shared" si="0"/>
        <v>0</v>
      </c>
    </row>
    <row r="22" spans="2:17">
      <c r="C22" s="111"/>
      <c r="D22" s="111"/>
      <c r="E22" s="111"/>
      <c r="F22" s="111"/>
      <c r="G22" s="111"/>
      <c r="H22" s="111"/>
      <c r="I22" s="111"/>
      <c r="J22" s="111"/>
      <c r="K22" s="111"/>
      <c r="L22" s="111"/>
      <c r="M22" s="111"/>
      <c r="N22" s="111"/>
      <c r="O22" s="111"/>
      <c r="P22" s="111">
        <f t="shared" si="0"/>
        <v>0</v>
      </c>
    </row>
    <row r="23" spans="2:17" ht="13.8" thickBot="1">
      <c r="B23" s="113"/>
      <c r="C23" s="113">
        <v>2969.545095891669</v>
      </c>
      <c r="D23" s="113">
        <v>2969.545095891669</v>
      </c>
      <c r="E23" s="113">
        <v>2969.545095891669</v>
      </c>
      <c r="F23" s="113">
        <v>2969.545095891669</v>
      </c>
      <c r="G23" s="113">
        <v>2969.545095891669</v>
      </c>
      <c r="H23" s="113">
        <v>2969.545095891669</v>
      </c>
      <c r="I23" s="113">
        <v>2969.545095891669</v>
      </c>
      <c r="J23" s="113">
        <v>2969.545095891669</v>
      </c>
      <c r="K23" s="113">
        <v>2969.545095891669</v>
      </c>
      <c r="L23" s="113">
        <v>2969.545095891669</v>
      </c>
      <c r="M23" s="113">
        <v>2969.545095891669</v>
      </c>
      <c r="N23" s="113">
        <v>2969.545095891669</v>
      </c>
      <c r="O23" s="113">
        <f>SUM(O7:O22)</f>
        <v>0</v>
      </c>
      <c r="P23" s="113">
        <f>SUM(P7:P22)</f>
        <v>11035.6</v>
      </c>
    </row>
    <row r="24" spans="2:17">
      <c r="C24" s="111"/>
      <c r="D24" s="111"/>
      <c r="E24" s="111"/>
      <c r="F24" s="111"/>
      <c r="G24" s="111"/>
      <c r="H24" s="111"/>
      <c r="I24" s="111"/>
      <c r="J24" s="111"/>
      <c r="K24" s="111"/>
      <c r="L24" s="111"/>
      <c r="M24" s="111"/>
      <c r="N24" s="111"/>
      <c r="O24" s="111"/>
      <c r="P24" s="111"/>
    </row>
    <row r="25" spans="2:17">
      <c r="C25" s="111"/>
      <c r="D25" s="111"/>
      <c r="E25" s="111"/>
      <c r="F25" s="111"/>
      <c r="G25" s="111"/>
      <c r="H25" s="111"/>
      <c r="I25" s="111"/>
      <c r="J25" s="111"/>
      <c r="K25" s="111"/>
      <c r="L25" s="111"/>
      <c r="M25" s="111"/>
      <c r="N25" s="111"/>
      <c r="O25" s="111"/>
      <c r="P25" s="111"/>
    </row>
    <row r="26" spans="2:17">
      <c r="C26" s="111"/>
      <c r="D26" s="111"/>
      <c r="E26" s="111"/>
      <c r="F26" s="111"/>
      <c r="G26" s="111"/>
      <c r="H26" s="111"/>
      <c r="I26" s="111"/>
      <c r="J26" s="111"/>
      <c r="K26" s="111"/>
      <c r="L26" s="111"/>
      <c r="M26" s="111"/>
      <c r="N26" s="111"/>
      <c r="O26" s="111"/>
      <c r="P26" s="111"/>
    </row>
    <row r="27" spans="2:17">
      <c r="B27" t="s">
        <v>258</v>
      </c>
      <c r="C27" s="204">
        <v>0</v>
      </c>
      <c r="D27" s="204">
        <v>0.05</v>
      </c>
      <c r="E27" s="204">
        <v>0.05</v>
      </c>
      <c r="F27" s="204">
        <f>E27</f>
        <v>0.05</v>
      </c>
      <c r="G27" s="204">
        <f>F27</f>
        <v>0.05</v>
      </c>
      <c r="H27" s="204">
        <v>0.1</v>
      </c>
      <c r="I27" s="204">
        <v>0.2</v>
      </c>
      <c r="J27" s="204">
        <v>0.2</v>
      </c>
      <c r="K27" s="204">
        <v>0.2</v>
      </c>
      <c r="L27" s="204">
        <v>0.2</v>
      </c>
      <c r="M27" s="204">
        <f>L27</f>
        <v>0.2</v>
      </c>
      <c r="N27" s="204">
        <f>M27</f>
        <v>0.2</v>
      </c>
      <c r="O27" s="204">
        <f>N27</f>
        <v>0.2</v>
      </c>
      <c r="P27" s="204"/>
    </row>
    <row r="28" spans="2:17">
      <c r="C28" s="111">
        <f>'4-DRE'!C35*C27</f>
        <v>0</v>
      </c>
      <c r="D28" s="111">
        <f>'4-DRE'!D35*D27</f>
        <v>252.8799460379789</v>
      </c>
      <c r="E28" s="111">
        <f>'4-DRE'!E35*E27</f>
        <v>290.33800121056413</v>
      </c>
      <c r="F28" s="111">
        <f>'4-DRE'!F35*F27</f>
        <v>333.41635437715064</v>
      </c>
      <c r="G28" s="111">
        <f>'4-DRE'!G35*G27</f>
        <v>391.4155027157351</v>
      </c>
      <c r="H28" s="111">
        <f>'4-DRE'!G35*H27</f>
        <v>782.8310054314702</v>
      </c>
      <c r="I28" s="111">
        <f>'4-DRE'!H35*I27</f>
        <v>1854.8520810076234</v>
      </c>
      <c r="J28" s="111">
        <f>'4-DRE'!I35*J27</f>
        <v>2337.0701585843317</v>
      </c>
      <c r="K28" s="111">
        <f>'4-DRE'!J35*K27</f>
        <v>2898.734824888702</v>
      </c>
      <c r="L28" s="111">
        <f>'4-DRE'!K35*L27</f>
        <v>3500.7717561493646</v>
      </c>
      <c r="M28" s="111">
        <f>'4-DRE'!L35*M27</f>
        <v>4202.1242224099542</v>
      </c>
      <c r="N28" s="111">
        <f>'4-DRE'!M35*N27</f>
        <v>5019.09167192513</v>
      </c>
      <c r="O28" s="111">
        <f>'4-DRE'!N35*O27</f>
        <v>5970.5633895986375</v>
      </c>
      <c r="P28" s="111"/>
    </row>
    <row r="29" spans="2:17">
      <c r="C29" s="111"/>
      <c r="D29" s="111"/>
      <c r="E29" s="111"/>
      <c r="F29" s="111"/>
      <c r="G29" s="111"/>
      <c r="H29" s="111"/>
      <c r="I29" s="111"/>
      <c r="J29" s="111"/>
      <c r="K29" s="111"/>
      <c r="L29" s="111"/>
      <c r="M29" s="111"/>
      <c r="N29" s="111"/>
      <c r="O29" s="111"/>
      <c r="P29" s="111"/>
    </row>
    <row r="30" spans="2:17">
      <c r="C30" s="111">
        <f>AS!D9</f>
        <v>3830</v>
      </c>
      <c r="D30" s="111">
        <f>C30</f>
        <v>3830</v>
      </c>
      <c r="E30" s="111">
        <f t="shared" ref="E30:O30" si="1">D30</f>
        <v>3830</v>
      </c>
      <c r="F30" s="111">
        <f t="shared" si="1"/>
        <v>3830</v>
      </c>
      <c r="G30" s="111">
        <f t="shared" si="1"/>
        <v>3830</v>
      </c>
      <c r="H30" s="111">
        <f t="shared" si="1"/>
        <v>3830</v>
      </c>
      <c r="I30" s="111">
        <f t="shared" si="1"/>
        <v>3830</v>
      </c>
      <c r="J30" s="111">
        <f t="shared" si="1"/>
        <v>3830</v>
      </c>
      <c r="K30" s="111">
        <f t="shared" si="1"/>
        <v>3830</v>
      </c>
      <c r="L30" s="111">
        <f t="shared" si="1"/>
        <v>3830</v>
      </c>
      <c r="M30" s="111">
        <f t="shared" si="1"/>
        <v>3830</v>
      </c>
      <c r="N30" s="111">
        <f t="shared" si="1"/>
        <v>3830</v>
      </c>
      <c r="O30" s="111">
        <f t="shared" si="1"/>
        <v>3830</v>
      </c>
      <c r="P30" s="111"/>
      <c r="Q30" s="111"/>
    </row>
    <row r="31" spans="2:17">
      <c r="C31" s="111"/>
      <c r="D31" s="111"/>
      <c r="E31" s="111"/>
      <c r="F31" s="111"/>
      <c r="G31" s="111"/>
      <c r="H31" s="111"/>
      <c r="I31" s="111"/>
      <c r="J31" s="111"/>
      <c r="K31" s="111"/>
      <c r="L31" s="111"/>
      <c r="M31" s="111"/>
      <c r="N31" s="111"/>
      <c r="O31" s="111"/>
      <c r="P31" s="111"/>
    </row>
    <row r="32" spans="2:17">
      <c r="C32" s="111"/>
      <c r="D32" s="111"/>
      <c r="E32" s="111"/>
      <c r="F32" s="111"/>
      <c r="G32" s="111"/>
      <c r="H32" s="111"/>
      <c r="I32" s="111"/>
      <c r="J32" s="111"/>
      <c r="K32" s="111"/>
      <c r="L32" s="111"/>
      <c r="M32" s="111"/>
      <c r="N32" s="111"/>
      <c r="O32" s="111"/>
      <c r="P32" s="111"/>
    </row>
    <row r="33" spans="3:16">
      <c r="C33" s="111"/>
      <c r="D33" s="111"/>
      <c r="E33" s="111"/>
      <c r="F33" s="111"/>
      <c r="G33" s="111"/>
      <c r="H33" s="111"/>
      <c r="I33" s="111"/>
      <c r="J33" s="111"/>
      <c r="K33" s="111"/>
      <c r="L33" s="111"/>
      <c r="M33" s="111"/>
      <c r="N33" s="111"/>
      <c r="O33" s="111"/>
      <c r="P33" s="111"/>
    </row>
    <row r="34" spans="3:16">
      <c r="C34" s="111"/>
      <c r="D34" s="111"/>
      <c r="E34" s="111"/>
      <c r="F34" s="111"/>
      <c r="G34" s="111"/>
      <c r="H34" s="111"/>
      <c r="I34" s="111"/>
      <c r="J34" s="111"/>
      <c r="K34" s="111"/>
      <c r="L34" s="111"/>
      <c r="M34" s="111"/>
      <c r="N34" s="111"/>
      <c r="O34" s="111"/>
      <c r="P34" s="111"/>
    </row>
    <row r="35" spans="3:16">
      <c r="C35" s="111"/>
      <c r="D35" s="111"/>
      <c r="E35" s="111"/>
      <c r="F35" s="111"/>
      <c r="G35" s="111"/>
      <c r="H35" s="111"/>
      <c r="I35" s="111"/>
      <c r="J35" s="111"/>
      <c r="K35" s="111"/>
      <c r="L35" s="111"/>
      <c r="M35" s="111"/>
      <c r="N35" s="111"/>
      <c r="O35" s="111"/>
      <c r="P35" s="111"/>
    </row>
    <row r="36" spans="3:16">
      <c r="C36" s="111"/>
      <c r="D36" s="111"/>
      <c r="E36" s="111"/>
      <c r="F36" s="111"/>
      <c r="G36" s="111"/>
      <c r="H36" s="111"/>
      <c r="I36" s="111"/>
      <c r="J36" s="111"/>
      <c r="K36" s="111"/>
      <c r="L36" s="111"/>
      <c r="M36" s="111"/>
      <c r="N36" s="111"/>
      <c r="O36" s="111"/>
      <c r="P36" s="111"/>
    </row>
    <row r="37" spans="3:16">
      <c r="C37" s="111"/>
      <c r="D37" s="111"/>
      <c r="E37" s="111"/>
      <c r="F37" s="111"/>
      <c r="G37" s="111"/>
      <c r="H37" s="111"/>
      <c r="I37" s="111"/>
      <c r="J37" s="111"/>
      <c r="K37" s="111"/>
      <c r="L37" s="111"/>
      <c r="M37" s="111"/>
      <c r="N37" s="111"/>
      <c r="O37" s="111"/>
      <c r="P37" s="111"/>
    </row>
    <row r="38" spans="3:16">
      <c r="C38" s="111"/>
      <c r="D38" s="111"/>
      <c r="E38" s="111"/>
      <c r="F38" s="111"/>
      <c r="G38" s="111"/>
      <c r="H38" s="111"/>
      <c r="I38" s="111"/>
      <c r="J38" s="111"/>
      <c r="K38" s="111"/>
      <c r="L38" s="111"/>
      <c r="M38" s="111"/>
      <c r="N38" s="111"/>
      <c r="O38" s="111"/>
      <c r="P38" s="111"/>
    </row>
    <row r="39" spans="3:16">
      <c r="C39" s="111"/>
      <c r="D39" s="111"/>
      <c r="E39" s="111"/>
      <c r="F39" s="111"/>
      <c r="G39" s="111"/>
      <c r="H39" s="111"/>
      <c r="I39" s="111"/>
      <c r="J39" s="111"/>
      <c r="K39" s="111"/>
      <c r="L39" s="111"/>
      <c r="M39" s="111"/>
      <c r="N39" s="111"/>
      <c r="O39" s="111"/>
      <c r="P39" s="111"/>
    </row>
    <row r="40" spans="3:16">
      <c r="C40" s="111"/>
      <c r="D40" s="111"/>
      <c r="E40" s="111"/>
      <c r="F40" s="111"/>
      <c r="G40" s="111"/>
      <c r="H40" s="111"/>
      <c r="I40" s="111"/>
      <c r="J40" s="111"/>
      <c r="K40" s="111"/>
      <c r="L40" s="111"/>
      <c r="M40" s="111"/>
      <c r="N40" s="111"/>
      <c r="O40" s="111"/>
      <c r="P40" s="111"/>
    </row>
    <row r="41" spans="3:16">
      <c r="C41" s="111"/>
      <c r="D41" s="111"/>
      <c r="E41" s="111"/>
      <c r="F41" s="111"/>
      <c r="G41" s="111"/>
      <c r="H41" s="111"/>
      <c r="I41" s="111"/>
      <c r="J41" s="111"/>
      <c r="K41" s="111"/>
      <c r="L41" s="111"/>
      <c r="M41" s="111"/>
      <c r="N41" s="111"/>
      <c r="O41" s="111"/>
      <c r="P41" s="111"/>
    </row>
    <row r="42" spans="3:16">
      <c r="C42" s="111"/>
      <c r="D42" s="111"/>
      <c r="E42" s="111"/>
      <c r="F42" s="111"/>
      <c r="G42" s="111"/>
      <c r="H42" s="111"/>
      <c r="I42" s="111"/>
      <c r="J42" s="111"/>
      <c r="K42" s="111"/>
      <c r="L42" s="111"/>
      <c r="M42" s="111"/>
      <c r="N42" s="111"/>
      <c r="O42" s="111"/>
      <c r="P42" s="111"/>
    </row>
    <row r="43" spans="3:16">
      <c r="C43" s="111"/>
      <c r="D43" s="111"/>
      <c r="E43" s="111"/>
      <c r="F43" s="111"/>
      <c r="G43" s="111"/>
      <c r="H43" s="111"/>
      <c r="I43" s="111"/>
      <c r="J43" s="111"/>
      <c r="K43" s="111"/>
      <c r="L43" s="111"/>
      <c r="M43" s="111"/>
      <c r="N43" s="111"/>
      <c r="O43" s="111"/>
      <c r="P43" s="111"/>
    </row>
    <row r="44" spans="3:16">
      <c r="C44" s="111"/>
      <c r="D44" s="111"/>
      <c r="E44" s="111"/>
      <c r="F44" s="111"/>
      <c r="G44" s="111"/>
      <c r="H44" s="111"/>
      <c r="I44" s="111"/>
      <c r="J44" s="111"/>
      <c r="K44" s="111"/>
      <c r="L44" s="111"/>
      <c r="M44" s="111"/>
      <c r="N44" s="111"/>
      <c r="O44" s="111"/>
      <c r="P44" s="111"/>
    </row>
    <row r="45" spans="3:16">
      <c r="C45" s="111"/>
      <c r="D45" s="111"/>
      <c r="E45" s="111"/>
      <c r="F45" s="111"/>
      <c r="G45" s="111"/>
      <c r="H45" s="111"/>
      <c r="I45" s="111"/>
      <c r="J45" s="111"/>
      <c r="K45" s="111"/>
      <c r="L45" s="111"/>
      <c r="M45" s="111"/>
      <c r="N45" s="111"/>
      <c r="O45" s="111"/>
      <c r="P45" s="111"/>
    </row>
    <row r="46" spans="3:16">
      <c r="C46" s="111"/>
      <c r="D46" s="111"/>
      <c r="E46" s="111"/>
      <c r="F46" s="111"/>
      <c r="G46" s="111"/>
      <c r="H46" s="111"/>
      <c r="I46" s="111"/>
      <c r="J46" s="111"/>
      <c r="K46" s="111"/>
      <c r="L46" s="111"/>
      <c r="M46" s="111"/>
      <c r="N46" s="111"/>
      <c r="O46" s="111"/>
      <c r="P46" s="111"/>
    </row>
    <row r="47" spans="3:16">
      <c r="C47" s="111"/>
      <c r="D47" s="111"/>
      <c r="E47" s="111"/>
      <c r="F47" s="111"/>
      <c r="G47" s="111"/>
      <c r="H47" s="111"/>
      <c r="I47" s="111"/>
      <c r="J47" s="111"/>
      <c r="K47" s="111"/>
      <c r="L47" s="111"/>
      <c r="M47" s="111"/>
      <c r="N47" s="111"/>
      <c r="O47" s="111"/>
      <c r="P47" s="111"/>
    </row>
    <row r="48" spans="3:16">
      <c r="C48" s="111"/>
      <c r="D48" s="111"/>
      <c r="E48" s="111"/>
      <c r="F48" s="111"/>
      <c r="G48" s="111"/>
      <c r="H48" s="111"/>
      <c r="I48" s="111"/>
      <c r="J48" s="111"/>
      <c r="K48" s="111"/>
      <c r="L48" s="111"/>
      <c r="M48" s="111"/>
      <c r="N48" s="111"/>
      <c r="O48" s="111"/>
      <c r="P48" s="111"/>
    </row>
    <row r="49" spans="3:16">
      <c r="C49" s="111"/>
      <c r="D49" s="111"/>
      <c r="E49" s="111"/>
      <c r="F49" s="111"/>
      <c r="G49" s="111"/>
      <c r="H49" s="111"/>
      <c r="I49" s="111"/>
      <c r="J49" s="111"/>
      <c r="K49" s="111"/>
      <c r="L49" s="111"/>
      <c r="M49" s="111"/>
      <c r="N49" s="111"/>
      <c r="O49" s="111"/>
      <c r="P49" s="111"/>
    </row>
    <row r="50" spans="3:16">
      <c r="C50" s="111"/>
      <c r="D50" s="111"/>
      <c r="E50" s="111"/>
      <c r="F50" s="111"/>
      <c r="G50" s="111"/>
      <c r="H50" s="111"/>
      <c r="I50" s="111"/>
      <c r="J50" s="111"/>
      <c r="K50" s="111"/>
      <c r="L50" s="111"/>
      <c r="M50" s="111"/>
      <c r="N50" s="111"/>
      <c r="O50" s="111"/>
      <c r="P50" s="111"/>
    </row>
    <row r="51" spans="3:16">
      <c r="C51" s="111"/>
      <c r="D51" s="111"/>
      <c r="E51" s="111"/>
      <c r="F51" s="111"/>
      <c r="G51" s="111"/>
      <c r="H51" s="111"/>
      <c r="I51" s="111"/>
      <c r="J51" s="111"/>
      <c r="K51" s="111"/>
      <c r="L51" s="111"/>
      <c r="M51" s="111"/>
      <c r="N51" s="111"/>
      <c r="O51" s="111"/>
      <c r="P51" s="111"/>
    </row>
    <row r="52" spans="3:16">
      <c r="C52" s="111"/>
      <c r="D52" s="111"/>
      <c r="E52" s="111"/>
      <c r="F52" s="111"/>
      <c r="G52" s="111"/>
      <c r="H52" s="111"/>
      <c r="I52" s="111"/>
      <c r="J52" s="111"/>
      <c r="K52" s="111"/>
      <c r="L52" s="111"/>
      <c r="M52" s="111"/>
      <c r="N52" s="111"/>
      <c r="O52" s="111"/>
      <c r="P52" s="111"/>
    </row>
    <row r="53" spans="3:16">
      <c r="C53" s="111"/>
      <c r="D53" s="111"/>
      <c r="E53" s="111"/>
      <c r="F53" s="111"/>
      <c r="G53" s="111"/>
      <c r="H53" s="111"/>
      <c r="I53" s="111"/>
      <c r="J53" s="111"/>
      <c r="K53" s="111"/>
      <c r="L53" s="111"/>
      <c r="M53" s="111"/>
      <c r="N53" s="111"/>
      <c r="O53" s="111"/>
      <c r="P53" s="111"/>
    </row>
    <row r="54" spans="3:16">
      <c r="C54" s="111"/>
      <c r="D54" s="111"/>
      <c r="E54" s="111"/>
      <c r="F54" s="111"/>
      <c r="G54" s="111"/>
      <c r="H54" s="111"/>
      <c r="I54" s="111"/>
      <c r="J54" s="111"/>
      <c r="K54" s="111"/>
      <c r="L54" s="111"/>
      <c r="M54" s="111"/>
      <c r="N54" s="111"/>
      <c r="O54" s="111"/>
      <c r="P54" s="111"/>
    </row>
    <row r="55" spans="3:16">
      <c r="C55" s="111"/>
      <c r="D55" s="111"/>
      <c r="E55" s="111"/>
      <c r="F55" s="111"/>
      <c r="G55" s="111"/>
      <c r="H55" s="111"/>
      <c r="I55" s="111"/>
      <c r="J55" s="111"/>
      <c r="K55" s="111"/>
      <c r="L55" s="111"/>
      <c r="M55" s="111"/>
      <c r="N55" s="111"/>
      <c r="O55" s="111"/>
      <c r="P55" s="111"/>
    </row>
    <row r="56" spans="3:16">
      <c r="C56" s="111"/>
      <c r="D56" s="111"/>
      <c r="E56" s="111"/>
      <c r="F56" s="111"/>
      <c r="G56" s="111"/>
      <c r="H56" s="111"/>
      <c r="I56" s="111"/>
      <c r="J56" s="111"/>
      <c r="K56" s="111"/>
      <c r="L56" s="111"/>
      <c r="M56" s="111"/>
      <c r="N56" s="111"/>
      <c r="O56" s="111"/>
      <c r="P56" s="111"/>
    </row>
    <row r="57" spans="3:16">
      <c r="C57" s="111"/>
      <c r="D57" s="111"/>
      <c r="E57" s="111"/>
      <c r="F57" s="111"/>
      <c r="G57" s="111"/>
      <c r="H57" s="111"/>
      <c r="I57" s="111"/>
      <c r="J57" s="111"/>
      <c r="K57" s="111"/>
      <c r="L57" s="111"/>
      <c r="M57" s="111"/>
      <c r="N57" s="111"/>
      <c r="O57" s="111"/>
      <c r="P57" s="111"/>
    </row>
    <row r="58" spans="3:16">
      <c r="C58" s="111"/>
      <c r="D58" s="111"/>
      <c r="E58" s="111"/>
      <c r="F58" s="111"/>
      <c r="G58" s="111"/>
      <c r="H58" s="111"/>
      <c r="I58" s="111"/>
      <c r="J58" s="111"/>
      <c r="K58" s="111"/>
      <c r="L58" s="111"/>
      <c r="M58" s="111"/>
      <c r="N58" s="111"/>
      <c r="O58" s="111"/>
      <c r="P58" s="111"/>
    </row>
    <row r="59" spans="3:16">
      <c r="C59" s="111"/>
      <c r="D59" s="111"/>
      <c r="E59" s="111"/>
      <c r="F59" s="111"/>
      <c r="G59" s="111"/>
      <c r="H59" s="111"/>
      <c r="I59" s="111"/>
      <c r="J59" s="111"/>
      <c r="K59" s="111"/>
      <c r="L59" s="111"/>
      <c r="M59" s="111"/>
      <c r="N59" s="111"/>
      <c r="O59" s="111"/>
      <c r="P59" s="111"/>
    </row>
    <row r="60" spans="3:16">
      <c r="C60" s="111"/>
      <c r="D60" s="111"/>
      <c r="E60" s="111"/>
      <c r="F60" s="111"/>
      <c r="G60" s="111"/>
      <c r="H60" s="111"/>
      <c r="I60" s="111"/>
      <c r="J60" s="111"/>
      <c r="K60" s="111"/>
      <c r="L60" s="111"/>
      <c r="M60" s="111"/>
      <c r="N60" s="111"/>
      <c r="O60" s="111"/>
      <c r="P60" s="111"/>
    </row>
    <row r="61" spans="3:16">
      <c r="C61" s="111"/>
      <c r="D61" s="111"/>
      <c r="E61" s="111"/>
      <c r="F61" s="111"/>
      <c r="G61" s="111"/>
      <c r="H61" s="111"/>
      <c r="I61" s="111"/>
      <c r="J61" s="111"/>
      <c r="K61" s="111"/>
      <c r="L61" s="111"/>
      <c r="M61" s="111"/>
      <c r="N61" s="111"/>
      <c r="O61" s="111"/>
      <c r="P61" s="111"/>
    </row>
    <row r="62" spans="3:16">
      <c r="C62" s="111"/>
      <c r="D62" s="111"/>
      <c r="E62" s="111"/>
      <c r="F62" s="111"/>
      <c r="G62" s="111"/>
      <c r="H62" s="111"/>
      <c r="I62" s="111"/>
      <c r="J62" s="111"/>
      <c r="K62" s="111"/>
      <c r="L62" s="111"/>
      <c r="M62" s="111"/>
      <c r="N62" s="111"/>
      <c r="O62" s="111"/>
      <c r="P62" s="111"/>
    </row>
  </sheetData>
  <phoneticPr fontId="0" type="noConversion"/>
  <hyperlinks>
    <hyperlink ref="B1" location="Índice!A1" display="Voltar" xr:uid="{00000000-0004-0000-0A00-000000000000}"/>
  </hyperlinks>
  <pageMargins left="0.27559055118110237" right="0.19685039370078741" top="0.39370078740157483" bottom="0.98425196850393704" header="0.15748031496062992" footer="0.51181102362204722"/>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indexed="40"/>
    <pageSetUpPr fitToPage="1"/>
  </sheetPr>
  <dimension ref="B1:T34"/>
  <sheetViews>
    <sheetView zoomScale="70" workbookViewId="0">
      <selection activeCell="B1" sqref="B1"/>
    </sheetView>
  </sheetViews>
  <sheetFormatPr defaultRowHeight="13.2"/>
  <cols>
    <col min="1" max="1" width="2.44140625" customWidth="1"/>
    <col min="2" max="2" width="45" bestFit="1" customWidth="1"/>
    <col min="3" max="4" width="7.88671875" bestFit="1" customWidth="1"/>
    <col min="5" max="6" width="8.88671875" bestFit="1" customWidth="1"/>
    <col min="7" max="7" width="9.6640625" bestFit="1" customWidth="1"/>
    <col min="8" max="9" width="8.88671875" bestFit="1" customWidth="1"/>
    <col min="10" max="10" width="7.88671875" bestFit="1" customWidth="1"/>
    <col min="11" max="11" width="7.6640625" bestFit="1" customWidth="1"/>
    <col min="12" max="12" width="7.88671875" bestFit="1" customWidth="1"/>
    <col min="13" max="13" width="7.6640625" bestFit="1" customWidth="1"/>
    <col min="14" max="17" width="7.88671875" bestFit="1" customWidth="1"/>
    <col min="18" max="18" width="7.6640625" bestFit="1" customWidth="1"/>
    <col min="19" max="19" width="6.6640625" bestFit="1" customWidth="1"/>
    <col min="20" max="20" width="9.6640625" bestFit="1" customWidth="1"/>
  </cols>
  <sheetData>
    <row r="1" spans="2:20">
      <c r="B1" s="393" t="s">
        <v>353</v>
      </c>
    </row>
    <row r="3" spans="2:20" ht="13.8" thickBot="1"/>
    <row r="4" spans="2:20">
      <c r="C4" s="82">
        <f>+'3-Balanço'!E5</f>
        <v>42369</v>
      </c>
      <c r="D4" s="82">
        <f>+'3-Balanço'!F5</f>
        <v>42735</v>
      </c>
      <c r="E4" s="82">
        <f>+'3-Balanço'!G5</f>
        <v>43100</v>
      </c>
      <c r="F4" s="82">
        <f>+'3-Balanço'!H5</f>
        <v>43465</v>
      </c>
      <c r="G4" s="82">
        <f>+'3-Balanço'!I5</f>
        <v>43830</v>
      </c>
      <c r="H4" s="82">
        <f>+'3-Balanço'!J5</f>
        <v>44196</v>
      </c>
      <c r="I4" s="82">
        <f>+'3-Balanço'!K5</f>
        <v>44561</v>
      </c>
      <c r="J4" s="82">
        <f>+'3-Balanço'!L5</f>
        <v>44926</v>
      </c>
      <c r="K4" s="82">
        <f>+'3-Balanço'!M5</f>
        <v>45291</v>
      </c>
      <c r="L4" s="82">
        <f>+'3-Balanço'!N5</f>
        <v>45657</v>
      </c>
      <c r="M4" s="82">
        <f>+'3-Balanço'!O5</f>
        <v>46022</v>
      </c>
      <c r="N4" s="82">
        <f>+'3-Balanço'!P5</f>
        <v>46387</v>
      </c>
      <c r="O4" s="82">
        <f>+'3-Balanço'!Q5</f>
        <v>46752</v>
      </c>
      <c r="P4" s="388">
        <f>YEAR(O4+1)</f>
        <v>2028</v>
      </c>
      <c r="Q4" s="388">
        <f>+P4+1</f>
        <v>2029</v>
      </c>
      <c r="R4" s="388">
        <f t="shared" ref="R4:S4" si="0">+Q4+1</f>
        <v>2030</v>
      </c>
      <c r="S4" s="388">
        <f t="shared" si="0"/>
        <v>2031</v>
      </c>
      <c r="T4" s="82" t="s">
        <v>192</v>
      </c>
    </row>
    <row r="6" spans="2:20">
      <c r="B6" s="107" t="s">
        <v>174</v>
      </c>
      <c r="D6" s="114"/>
      <c r="E6" s="114"/>
      <c r="F6" s="114"/>
      <c r="G6" s="114"/>
      <c r="H6" s="115"/>
    </row>
    <row r="7" spans="2:20" ht="13.8">
      <c r="B7" s="118" t="s">
        <v>198</v>
      </c>
      <c r="D7" s="114"/>
      <c r="E7" s="114"/>
      <c r="F7" s="114"/>
      <c r="G7" s="114"/>
      <c r="H7" s="115"/>
    </row>
    <row r="8" spans="2:20" ht="13.8">
      <c r="B8" s="118" t="s">
        <v>84</v>
      </c>
      <c r="C8" s="114">
        <v>890</v>
      </c>
      <c r="D8" s="114">
        <v>987</v>
      </c>
      <c r="E8" s="114">
        <v>1121</v>
      </c>
      <c r="F8" s="114">
        <v>1321</v>
      </c>
      <c r="G8" s="114"/>
      <c r="H8" s="114">
        <v>1121</v>
      </c>
      <c r="I8" s="114">
        <v>1198</v>
      </c>
      <c r="J8" s="114">
        <v>765</v>
      </c>
      <c r="K8" s="114">
        <v>850</v>
      </c>
      <c r="L8" s="114"/>
      <c r="T8" s="116">
        <f>SUM(C8:S8)</f>
        <v>8253</v>
      </c>
    </row>
    <row r="9" spans="2:20" ht="13.8">
      <c r="B9" s="118" t="s">
        <v>93</v>
      </c>
      <c r="C9" s="114"/>
      <c r="D9" s="114"/>
      <c r="E9" s="114"/>
      <c r="F9" s="114"/>
      <c r="G9" s="114"/>
      <c r="H9" s="115"/>
    </row>
    <row r="10" spans="2:20" ht="13.8">
      <c r="B10" s="128" t="s">
        <v>199</v>
      </c>
      <c r="C10" s="130">
        <f>SUM(C7:C9)</f>
        <v>890</v>
      </c>
      <c r="D10" s="130">
        <f t="shared" ref="D10:T10" si="1">SUM(D7:D9)</f>
        <v>987</v>
      </c>
      <c r="E10" s="130">
        <f t="shared" si="1"/>
        <v>1121</v>
      </c>
      <c r="F10" s="130">
        <f t="shared" si="1"/>
        <v>1321</v>
      </c>
      <c r="G10" s="130">
        <f t="shared" si="1"/>
        <v>0</v>
      </c>
      <c r="H10" s="130">
        <f t="shared" si="1"/>
        <v>1121</v>
      </c>
      <c r="I10" s="130">
        <f t="shared" si="1"/>
        <v>1198</v>
      </c>
      <c r="J10" s="130">
        <f t="shared" si="1"/>
        <v>765</v>
      </c>
      <c r="K10" s="130">
        <f t="shared" si="1"/>
        <v>850</v>
      </c>
      <c r="L10" s="130">
        <f t="shared" si="1"/>
        <v>0</v>
      </c>
      <c r="M10" s="130">
        <f t="shared" si="1"/>
        <v>0</v>
      </c>
      <c r="N10" s="130">
        <f t="shared" si="1"/>
        <v>0</v>
      </c>
      <c r="O10" s="130">
        <f t="shared" si="1"/>
        <v>0</v>
      </c>
      <c r="P10" s="130">
        <f t="shared" si="1"/>
        <v>0</v>
      </c>
      <c r="Q10" s="130">
        <f t="shared" si="1"/>
        <v>0</v>
      </c>
      <c r="R10" s="130">
        <f t="shared" si="1"/>
        <v>0</v>
      </c>
      <c r="S10" s="130">
        <f t="shared" si="1"/>
        <v>0</v>
      </c>
      <c r="T10" s="130">
        <f t="shared" si="1"/>
        <v>8253</v>
      </c>
    </row>
    <row r="11" spans="2:20">
      <c r="C11" s="114"/>
      <c r="D11" s="114"/>
      <c r="E11" s="114"/>
      <c r="F11" s="114"/>
      <c r="G11" s="114"/>
      <c r="H11" s="115"/>
    </row>
    <row r="12" spans="2:20">
      <c r="C12" s="114"/>
      <c r="D12" s="114"/>
      <c r="E12" s="114"/>
      <c r="F12" s="114"/>
      <c r="G12" s="114"/>
      <c r="H12" s="115"/>
    </row>
    <row r="13" spans="2:20">
      <c r="B13" t="s">
        <v>175</v>
      </c>
      <c r="C13" s="131">
        <f>'7-Cálculos'!D9</f>
        <v>7.3960975609756105E-2</v>
      </c>
      <c r="D13" s="131">
        <f>'7-Cálculos'!E9</f>
        <v>7.3460975609756105E-2</v>
      </c>
      <c r="E13" s="131">
        <f>'7-Cálculos'!F9</f>
        <v>7.2960975609756104E-2</v>
      </c>
      <c r="F13" s="131">
        <f>'7-Cálculos'!G9</f>
        <v>7.2460975609756104E-2</v>
      </c>
      <c r="G13" s="131">
        <f>'7-Cálculos'!H9</f>
        <v>7.1960975609756103E-2</v>
      </c>
      <c r="H13" s="131">
        <f>'7-Cálculos'!I9</f>
        <v>7.1460975609756103E-2</v>
      </c>
      <c r="I13" s="131">
        <f>'7-Cálculos'!J9</f>
        <v>7.0960975609756102E-2</v>
      </c>
      <c r="J13" s="131">
        <f>'7-Cálculos'!K9</f>
        <v>7.0460975609756102E-2</v>
      </c>
      <c r="K13" s="131">
        <f>'7-Cálculos'!L9</f>
        <v>6.9960975609756101E-2</v>
      </c>
      <c r="L13" s="131">
        <f>'7-Cálculos'!M9</f>
        <v>6.9460975609756101E-2</v>
      </c>
      <c r="M13" s="131">
        <f>'7-Cálculos'!N9</f>
        <v>6.8960975609756101E-2</v>
      </c>
      <c r="N13" s="131">
        <f>'7-Cálculos'!O9</f>
        <v>6.84609756097561E-2</v>
      </c>
      <c r="O13" s="131">
        <f>'7-Cálculos'!P9</f>
        <v>6.79609756097561E-2</v>
      </c>
      <c r="P13" s="131">
        <f>'7-Cálculos'!Q9</f>
        <v>0</v>
      </c>
      <c r="Q13" s="131">
        <f>'7-Cálculos'!R9</f>
        <v>0</v>
      </c>
      <c r="R13" s="131">
        <f>'7-Cálculos'!S9</f>
        <v>0</v>
      </c>
      <c r="S13" s="131">
        <f>'7-Cálculos'!T9</f>
        <v>0</v>
      </c>
      <c r="T13" s="131">
        <f>'7-Cálculos'!Z9</f>
        <v>0</v>
      </c>
    </row>
    <row r="14" spans="2:20">
      <c r="C14" s="115"/>
      <c r="D14" s="116"/>
      <c r="E14" s="116"/>
      <c r="F14" s="116"/>
      <c r="G14" s="116"/>
      <c r="H14" s="116"/>
      <c r="I14" s="116"/>
      <c r="J14" s="116"/>
      <c r="K14" s="116"/>
      <c r="L14" s="116"/>
      <c r="M14" s="116"/>
      <c r="N14" s="116"/>
      <c r="O14" s="116"/>
      <c r="P14" s="116"/>
      <c r="Q14" s="116"/>
      <c r="R14" s="116"/>
      <c r="S14" s="116"/>
      <c r="T14" s="116"/>
    </row>
    <row r="15" spans="2:20">
      <c r="C15" s="114"/>
    </row>
    <row r="16" spans="2:20">
      <c r="B16" s="107" t="s">
        <v>201</v>
      </c>
    </row>
    <row r="17" spans="2:20" ht="13.8">
      <c r="B17" s="118" t="s">
        <v>198</v>
      </c>
      <c r="C17" s="114">
        <f>-(730+74)</f>
        <v>-804</v>
      </c>
    </row>
    <row r="18" spans="2:20">
      <c r="B18" s="38">
        <v>38717</v>
      </c>
      <c r="C18" s="114"/>
      <c r="F18">
        <f>-$C$8*20%</f>
        <v>-178</v>
      </c>
      <c r="G18">
        <f>-$C$8*20%</f>
        <v>-178</v>
      </c>
      <c r="H18">
        <f>-$C$8*20%</f>
        <v>-178</v>
      </c>
      <c r="I18">
        <f>-$C$8*20%</f>
        <v>-178</v>
      </c>
      <c r="J18">
        <f>-$C$8*20%</f>
        <v>-178</v>
      </c>
      <c r="T18" s="116">
        <f t="shared" ref="T18:T27" si="2">SUM(C18:S18)</f>
        <v>-890</v>
      </c>
    </row>
    <row r="19" spans="2:20">
      <c r="B19" s="38">
        <v>39082</v>
      </c>
      <c r="C19" s="114"/>
      <c r="G19">
        <f>-$D$8*20%</f>
        <v>-197.4</v>
      </c>
      <c r="H19">
        <f>-$D$8*20%</f>
        <v>-197.4</v>
      </c>
      <c r="I19">
        <f>-$D$8*20%</f>
        <v>-197.4</v>
      </c>
      <c r="J19">
        <f>-$D$8*20%</f>
        <v>-197.4</v>
      </c>
      <c r="K19">
        <f>-$D$8*20%</f>
        <v>-197.4</v>
      </c>
      <c r="T19" s="116">
        <f t="shared" si="2"/>
        <v>-987</v>
      </c>
    </row>
    <row r="20" spans="2:20">
      <c r="B20" s="38">
        <v>39447</v>
      </c>
      <c r="C20" s="114"/>
      <c r="H20">
        <f>-$E$8*20%</f>
        <v>-224.20000000000002</v>
      </c>
      <c r="I20">
        <f>-$E$8*20%</f>
        <v>-224.20000000000002</v>
      </c>
      <c r="J20">
        <f>-$E$8*20%</f>
        <v>-224.20000000000002</v>
      </c>
      <c r="K20">
        <f>-$E$8*20%</f>
        <v>-224.20000000000002</v>
      </c>
      <c r="L20">
        <f>-$E$8*20%</f>
        <v>-224.20000000000002</v>
      </c>
      <c r="T20" s="116">
        <f t="shared" si="2"/>
        <v>-1121</v>
      </c>
    </row>
    <row r="21" spans="2:20">
      <c r="B21" s="38">
        <v>39813</v>
      </c>
      <c r="C21" s="114"/>
      <c r="I21">
        <f>-$F$8*20%</f>
        <v>-264.2</v>
      </c>
      <c r="J21">
        <f>-$F$8*20%</f>
        <v>-264.2</v>
      </c>
      <c r="K21">
        <f>-$F$8*20%</f>
        <v>-264.2</v>
      </c>
      <c r="L21">
        <f>-$F$8*20%</f>
        <v>-264.2</v>
      </c>
      <c r="M21">
        <f>-$F$8*20%</f>
        <v>-264.2</v>
      </c>
      <c r="T21" s="116">
        <f t="shared" si="2"/>
        <v>-1321</v>
      </c>
    </row>
    <row r="22" spans="2:20">
      <c r="B22" s="38">
        <v>40178</v>
      </c>
      <c r="C22" s="114"/>
      <c r="J22">
        <f>-$G$8*20%</f>
        <v>0</v>
      </c>
      <c r="K22">
        <f>-$G$8*20%</f>
        <v>0</v>
      </c>
      <c r="L22">
        <f>-$G$8*20%</f>
        <v>0</v>
      </c>
      <c r="M22">
        <f>-$G$8*20%</f>
        <v>0</v>
      </c>
      <c r="N22">
        <f>-$G$8*20%</f>
        <v>0</v>
      </c>
      <c r="T22" s="116">
        <f t="shared" si="2"/>
        <v>0</v>
      </c>
    </row>
    <row r="23" spans="2:20">
      <c r="B23" s="38">
        <v>40543</v>
      </c>
      <c r="C23" s="114"/>
      <c r="K23">
        <f>-$H$8*20%</f>
        <v>-224.20000000000002</v>
      </c>
      <c r="L23">
        <f>-$H$8*20%</f>
        <v>-224.20000000000002</v>
      </c>
      <c r="M23">
        <f>-$H$8*20%</f>
        <v>-224.20000000000002</v>
      </c>
      <c r="N23">
        <f>-$H$8*20%</f>
        <v>-224.20000000000002</v>
      </c>
      <c r="O23">
        <f>-$H$8*20%</f>
        <v>-224.20000000000002</v>
      </c>
      <c r="T23" s="116">
        <f t="shared" si="2"/>
        <v>-1121</v>
      </c>
    </row>
    <row r="24" spans="2:20">
      <c r="B24" s="38">
        <v>40908</v>
      </c>
      <c r="C24" s="114"/>
      <c r="L24">
        <f>-$I$8*20%</f>
        <v>-239.60000000000002</v>
      </c>
      <c r="M24">
        <f>-$I$8*20%</f>
        <v>-239.60000000000002</v>
      </c>
      <c r="N24">
        <f>-$I$8*20%</f>
        <v>-239.60000000000002</v>
      </c>
      <c r="O24">
        <f>-$I$8*20%</f>
        <v>-239.60000000000002</v>
      </c>
      <c r="P24">
        <f>-$I$8*20%</f>
        <v>-239.60000000000002</v>
      </c>
      <c r="T24" s="116">
        <f t="shared" si="2"/>
        <v>-1198</v>
      </c>
    </row>
    <row r="25" spans="2:20">
      <c r="B25" s="38">
        <v>41274</v>
      </c>
      <c r="C25" s="114"/>
      <c r="M25">
        <f>-$J$8*20%</f>
        <v>-153</v>
      </c>
      <c r="N25">
        <f>-$J$8*20%</f>
        <v>-153</v>
      </c>
      <c r="O25">
        <f>-$J$8*20%</f>
        <v>-153</v>
      </c>
      <c r="P25">
        <f>-$J$8*20%</f>
        <v>-153</v>
      </c>
      <c r="Q25">
        <f>-$J$8*20%</f>
        <v>-153</v>
      </c>
      <c r="T25" s="116">
        <f t="shared" si="2"/>
        <v>-765</v>
      </c>
    </row>
    <row r="26" spans="2:20">
      <c r="B26" s="38">
        <v>41639</v>
      </c>
      <c r="C26" s="114"/>
      <c r="N26">
        <f>-$K$8*20%</f>
        <v>-170</v>
      </c>
      <c r="O26">
        <f>-$K$8*20%</f>
        <v>-170</v>
      </c>
      <c r="P26">
        <f>-$K$8*20%</f>
        <v>-170</v>
      </c>
      <c r="Q26">
        <f>-$K$8*20%</f>
        <v>-170</v>
      </c>
      <c r="R26">
        <f>-$K$8*20%</f>
        <v>-170</v>
      </c>
      <c r="T26" s="116">
        <f t="shared" si="2"/>
        <v>-850</v>
      </c>
    </row>
    <row r="27" spans="2:20">
      <c r="B27" s="38">
        <v>42004</v>
      </c>
      <c r="C27" s="114"/>
      <c r="O27">
        <f>-$L$8*20%</f>
        <v>0</v>
      </c>
      <c r="P27">
        <f>-$L$8*20%</f>
        <v>0</v>
      </c>
      <c r="Q27">
        <f>-$L$8*20%</f>
        <v>0</v>
      </c>
      <c r="R27">
        <f>-$L$8*20%</f>
        <v>0</v>
      </c>
      <c r="S27">
        <f>-$L$8*20%</f>
        <v>0</v>
      </c>
      <c r="T27" s="116">
        <f t="shared" si="2"/>
        <v>0</v>
      </c>
    </row>
    <row r="28" spans="2:20">
      <c r="B28" s="38"/>
      <c r="C28" s="114"/>
    </row>
    <row r="29" spans="2:20" ht="13.8">
      <c r="B29" s="118" t="s">
        <v>84</v>
      </c>
      <c r="D29" s="114">
        <v>-696</v>
      </c>
      <c r="E29" s="114">
        <v>-505</v>
      </c>
      <c r="F29" s="114">
        <v>-271</v>
      </c>
      <c r="G29" s="114">
        <v>-1560</v>
      </c>
      <c r="H29" s="115">
        <v>-182</v>
      </c>
    </row>
    <row r="30" spans="2:20" ht="13.8">
      <c r="B30" s="118"/>
      <c r="D30" s="114"/>
      <c r="E30" s="114"/>
      <c r="F30" s="114"/>
      <c r="G30" s="114"/>
      <c r="H30" s="115"/>
    </row>
    <row r="31" spans="2:20" ht="13.8">
      <c r="B31" s="118"/>
      <c r="D31" s="114"/>
      <c r="E31" s="114"/>
      <c r="F31" s="114"/>
      <c r="G31" s="114"/>
      <c r="H31" s="115"/>
    </row>
    <row r="32" spans="2:20">
      <c r="B32" s="129" t="s">
        <v>202</v>
      </c>
      <c r="C32" s="130">
        <f t="shared" ref="C32:T32" si="3">SUM(C17:C31)</f>
        <v>-804</v>
      </c>
      <c r="D32" s="130">
        <f t="shared" si="3"/>
        <v>-696</v>
      </c>
      <c r="E32" s="130">
        <f t="shared" si="3"/>
        <v>-505</v>
      </c>
      <c r="F32" s="130">
        <f t="shared" si="3"/>
        <v>-449</v>
      </c>
      <c r="G32" s="130">
        <f t="shared" si="3"/>
        <v>-1935.4</v>
      </c>
      <c r="H32" s="130">
        <f t="shared" si="3"/>
        <v>-781.6</v>
      </c>
      <c r="I32" s="130">
        <f t="shared" si="3"/>
        <v>-863.8</v>
      </c>
      <c r="J32" s="130">
        <f t="shared" si="3"/>
        <v>-863.8</v>
      </c>
      <c r="K32" s="130">
        <f t="shared" si="3"/>
        <v>-910</v>
      </c>
      <c r="L32" s="130">
        <f t="shared" si="3"/>
        <v>-952.2</v>
      </c>
      <c r="M32" s="130">
        <f t="shared" si="3"/>
        <v>-881</v>
      </c>
      <c r="N32" s="130">
        <f t="shared" si="3"/>
        <v>-786.80000000000007</v>
      </c>
      <c r="O32" s="130">
        <f t="shared" si="3"/>
        <v>-786.80000000000007</v>
      </c>
      <c r="P32" s="130">
        <f t="shared" si="3"/>
        <v>-562.6</v>
      </c>
      <c r="Q32" s="130">
        <f t="shared" si="3"/>
        <v>-323</v>
      </c>
      <c r="R32" s="130">
        <f t="shared" si="3"/>
        <v>-170</v>
      </c>
      <c r="S32" s="130">
        <f t="shared" si="3"/>
        <v>0</v>
      </c>
      <c r="T32" s="130">
        <f t="shared" si="3"/>
        <v>-8253</v>
      </c>
    </row>
    <row r="33" spans="2:20">
      <c r="C33" s="114"/>
    </row>
    <row r="34" spans="2:20" ht="13.8" thickBot="1">
      <c r="B34" t="s">
        <v>200</v>
      </c>
      <c r="C34" s="117">
        <f t="shared" ref="C34:T34" si="4">C10+C32</f>
        <v>86</v>
      </c>
      <c r="D34" s="117">
        <f t="shared" si="4"/>
        <v>291</v>
      </c>
      <c r="E34" s="117">
        <f t="shared" si="4"/>
        <v>616</v>
      </c>
      <c r="F34" s="117">
        <f t="shared" si="4"/>
        <v>872</v>
      </c>
      <c r="G34" s="117">
        <f t="shared" si="4"/>
        <v>-1935.4</v>
      </c>
      <c r="H34" s="117">
        <f t="shared" si="4"/>
        <v>339.4</v>
      </c>
      <c r="I34" s="117">
        <f t="shared" si="4"/>
        <v>334.20000000000005</v>
      </c>
      <c r="J34" s="117">
        <f t="shared" si="4"/>
        <v>-98.799999999999955</v>
      </c>
      <c r="K34" s="117">
        <f t="shared" si="4"/>
        <v>-60</v>
      </c>
      <c r="L34" s="117">
        <f t="shared" si="4"/>
        <v>-952.2</v>
      </c>
      <c r="M34" s="117">
        <f t="shared" si="4"/>
        <v>-881</v>
      </c>
      <c r="N34" s="117">
        <f t="shared" si="4"/>
        <v>-786.80000000000007</v>
      </c>
      <c r="O34" s="117">
        <f t="shared" si="4"/>
        <v>-786.80000000000007</v>
      </c>
      <c r="P34" s="117">
        <f t="shared" si="4"/>
        <v>-562.6</v>
      </c>
      <c r="Q34" s="117">
        <f t="shared" si="4"/>
        <v>-323</v>
      </c>
      <c r="R34" s="117">
        <f t="shared" si="4"/>
        <v>-170</v>
      </c>
      <c r="S34" s="117">
        <f t="shared" si="4"/>
        <v>0</v>
      </c>
      <c r="T34" s="117">
        <f t="shared" si="4"/>
        <v>0</v>
      </c>
    </row>
  </sheetData>
  <phoneticPr fontId="0" type="noConversion"/>
  <hyperlinks>
    <hyperlink ref="B1" location="Índice!A1" display="Voltar" xr:uid="{00000000-0004-0000-0B00-000000000000}"/>
  </hyperlinks>
  <pageMargins left="0.15748031496062992" right="0.19685039370078741" top="0.98425196850393704" bottom="0.98425196850393704" header="0.51181102362204722" footer="0.51181102362204722"/>
  <pageSetup paperSize="9" scale="76" orientation="landscape" r:id="rId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Y32"/>
  <sheetViews>
    <sheetView showGridLines="0" zoomScale="85" workbookViewId="0">
      <pane xSplit="2" ySplit="4" topLeftCell="C5" activePane="bottomRight" state="frozen"/>
      <selection activeCell="D10" sqref="D10"/>
      <selection pane="topRight" activeCell="D10" sqref="D10"/>
      <selection pane="bottomLeft" activeCell="D10" sqref="D10"/>
      <selection pane="bottomRight" activeCell="B1" sqref="B1"/>
    </sheetView>
  </sheetViews>
  <sheetFormatPr defaultRowHeight="13.2"/>
  <cols>
    <col min="1" max="1" width="2.33203125" customWidth="1"/>
    <col min="2" max="2" width="38" bestFit="1" customWidth="1"/>
    <col min="3" max="3" width="16" bestFit="1" customWidth="1"/>
    <col min="4" max="5" width="9.33203125" bestFit="1" customWidth="1"/>
    <col min="6" max="6" width="8.88671875" bestFit="1" customWidth="1"/>
    <col min="7" max="7" width="9.33203125" bestFit="1" customWidth="1"/>
    <col min="8" max="8" width="8.88671875" bestFit="1" customWidth="1"/>
    <col min="9" max="13" width="9.33203125" bestFit="1" customWidth="1"/>
    <col min="14" max="14" width="8.88671875" bestFit="1" customWidth="1"/>
    <col min="15" max="15" width="9.33203125" bestFit="1" customWidth="1"/>
    <col min="16" max="19" width="7.88671875" hidden="1" customWidth="1"/>
    <col min="20" max="25" width="9" hidden="1" customWidth="1"/>
  </cols>
  <sheetData>
    <row r="1" spans="2:25">
      <c r="B1" s="393" t="s">
        <v>353</v>
      </c>
    </row>
    <row r="2" spans="2:25" ht="16.2">
      <c r="B2" s="123" t="s">
        <v>162</v>
      </c>
    </row>
    <row r="3" spans="2:25" ht="13.8" thickBot="1"/>
    <row r="4" spans="2:25">
      <c r="B4" s="61"/>
      <c r="C4" s="108">
        <f>+'3-Balanço'!E5</f>
        <v>42369</v>
      </c>
      <c r="D4" s="108">
        <f>+'3-Balanço'!F5</f>
        <v>42735</v>
      </c>
      <c r="E4" s="108">
        <f>+'3-Balanço'!G5</f>
        <v>43100</v>
      </c>
      <c r="F4" s="108">
        <f>+'3-Balanço'!H5</f>
        <v>43465</v>
      </c>
      <c r="G4" s="108">
        <f>+'3-Balanço'!I5</f>
        <v>43830</v>
      </c>
      <c r="H4" s="108">
        <f>+'3-Balanço'!J5</f>
        <v>44196</v>
      </c>
      <c r="I4" s="108">
        <f>+'3-Balanço'!K5</f>
        <v>44561</v>
      </c>
      <c r="J4" s="108">
        <f>+'3-Balanço'!L5</f>
        <v>44926</v>
      </c>
      <c r="K4" s="108">
        <f>+'3-Balanço'!M5</f>
        <v>45291</v>
      </c>
      <c r="L4" s="108">
        <f>+'3-Balanço'!N5</f>
        <v>45657</v>
      </c>
      <c r="M4" s="108">
        <f>+'3-Balanço'!O5</f>
        <v>46022</v>
      </c>
      <c r="N4" s="108">
        <f>+'3-Balanço'!P5</f>
        <v>46387</v>
      </c>
      <c r="O4" s="108">
        <f>+'3-Balanço'!Q5</f>
        <v>46752</v>
      </c>
      <c r="P4" s="108">
        <v>43465</v>
      </c>
      <c r="Q4" s="108">
        <v>43830</v>
      </c>
      <c r="R4" s="108">
        <v>44196</v>
      </c>
      <c r="S4" s="108">
        <v>44561</v>
      </c>
      <c r="T4" s="108">
        <v>44926</v>
      </c>
      <c r="U4" s="108">
        <v>45291</v>
      </c>
      <c r="V4" s="108">
        <v>45657</v>
      </c>
      <c r="W4" s="108">
        <v>46022</v>
      </c>
      <c r="X4" s="108">
        <v>46387</v>
      </c>
      <c r="Y4" s="108">
        <v>46752</v>
      </c>
    </row>
    <row r="5" spans="2:25">
      <c r="C5" s="38"/>
      <c r="D5" s="38"/>
      <c r="E5" s="38"/>
      <c r="F5" s="38"/>
      <c r="G5" s="38"/>
      <c r="H5" s="38"/>
      <c r="I5" s="38"/>
      <c r="J5" s="38"/>
      <c r="K5" s="38"/>
      <c r="L5" s="38"/>
      <c r="M5" s="38"/>
      <c r="N5" s="38"/>
      <c r="O5" s="38"/>
      <c r="P5" s="38"/>
      <c r="Q5" s="38"/>
      <c r="R5" s="38"/>
      <c r="S5" s="38"/>
      <c r="T5" s="38"/>
      <c r="U5" s="38"/>
      <c r="V5" s="38"/>
      <c r="W5" s="38"/>
      <c r="X5" s="38"/>
      <c r="Y5" s="38"/>
    </row>
    <row r="6" spans="2:25">
      <c r="B6" t="s">
        <v>160</v>
      </c>
      <c r="C6" s="104">
        <f>'4-DRE'!C37*(1-'2-Premissas'!C47)</f>
        <v>2726.3825159491021</v>
      </c>
      <c r="D6" s="104">
        <f>'4-DRE'!D37*(1-'2-Premissas'!D47)</f>
        <v>2849.2192877013208</v>
      </c>
      <c r="E6" s="104">
        <f>'4-DRE'!E37*(1-'2-Premissas'!E47)</f>
        <v>3277.6656159794456</v>
      </c>
      <c r="F6" s="104">
        <f>'4-DRE'!F37*(1-'2-Premissas'!F47)</f>
        <v>3796.7998777783878</v>
      </c>
      <c r="G6" s="104">
        <f>'4-DRE'!G37*(1-'2-Premissas'!G47)</f>
        <v>4512.888635847703</v>
      </c>
      <c r="H6" s="104">
        <f>'4-DRE'!H37*(1-'2-Premissas'!H47)</f>
        <v>5340.8258673251557</v>
      </c>
      <c r="I6" s="104">
        <f>'4-DRE'!I37*(1-'2-Premissas'!I47)</f>
        <v>6805.7555233282928</v>
      </c>
      <c r="J6" s="104">
        <f>'4-DRE'!J37*(1-'2-Premissas'!J47)</f>
        <v>8532.8589221327147</v>
      </c>
      <c r="K6" s="104">
        <f>'4-DRE'!K37*(1-'2-Premissas'!K47)</f>
        <v>10393.1907952929</v>
      </c>
      <c r="L6" s="104">
        <f>'4-DRE'!L37*(1-'2-Premissas'!L47)</f>
        <v>12581.263933952849</v>
      </c>
      <c r="M6" s="104">
        <f>'4-DRE'!M37*(1-'2-Premissas'!M47)</f>
        <v>15150.866517352928</v>
      </c>
      <c r="N6" s="104">
        <f>'4-DRE'!N37*(1-'2-Premissas'!N47)</f>
        <v>18164.333185675503</v>
      </c>
      <c r="O6" s="104">
        <f>'4-DRE'!O37*(1-'2-Premissas'!O47)</f>
        <v>21693.880299749933</v>
      </c>
      <c r="P6" s="104" t="e">
        <f>'4-DRE'!#REF!*(1-'2-Premissas'!#REF!)</f>
        <v>#REF!</v>
      </c>
      <c r="Q6" s="104" t="e">
        <f>'4-DRE'!#REF!*(1-'2-Premissas'!#REF!)</f>
        <v>#REF!</v>
      </c>
      <c r="R6" s="104" t="e">
        <f>'4-DRE'!#REF!*(1-'2-Premissas'!#REF!)</f>
        <v>#REF!</v>
      </c>
      <c r="S6" s="104" t="e">
        <f>'4-DRE'!#REF!*(1-'2-Premissas'!#REF!)</f>
        <v>#REF!</v>
      </c>
      <c r="T6" s="104" t="e">
        <f>'4-DRE'!#REF!*(1-'2-Premissas'!#REF!)</f>
        <v>#REF!</v>
      </c>
      <c r="U6" s="104" t="e">
        <f>'4-DRE'!#REF!*(1-'2-Premissas'!#REF!)</f>
        <v>#REF!</v>
      </c>
      <c r="V6" s="104" t="e">
        <f>'4-DRE'!#REF!*(1-'2-Premissas'!#REF!)</f>
        <v>#REF!</v>
      </c>
      <c r="W6" s="104" t="e">
        <f>'4-DRE'!#REF!*(1-'2-Premissas'!#REF!)</f>
        <v>#REF!</v>
      </c>
      <c r="X6" s="104" t="e">
        <f>'4-DRE'!#REF!*(1-'2-Premissas'!#REF!)</f>
        <v>#REF!</v>
      </c>
      <c r="Y6" s="104" t="e">
        <f>'4-DRE'!#REF!*(1-'2-Premissas'!#REF!)</f>
        <v>#REF!</v>
      </c>
    </row>
    <row r="7" spans="2:25">
      <c r="B7" t="s">
        <v>157</v>
      </c>
      <c r="C7" s="104">
        <f>-'4-DRE'!C36</f>
        <v>640.6</v>
      </c>
      <c r="D7" s="104">
        <f>-'4-DRE'!D36</f>
        <v>740.6</v>
      </c>
      <c r="E7" s="104">
        <f>-'4-DRE'!E36</f>
        <v>840.6</v>
      </c>
      <c r="F7" s="104">
        <f>-'4-DRE'!F36</f>
        <v>915.6</v>
      </c>
      <c r="G7" s="104">
        <f>-'4-DRE'!G36</f>
        <v>990.6</v>
      </c>
      <c r="H7" s="104">
        <f>-'4-DRE'!H36</f>
        <v>1182.1000000000001</v>
      </c>
      <c r="I7" s="104">
        <f>-'4-DRE'!I36</f>
        <v>1373.6000000000001</v>
      </c>
      <c r="J7" s="104">
        <f>-'4-DRE'!J36</f>
        <v>1565.1000000000001</v>
      </c>
      <c r="K7" s="104">
        <f>-'4-DRE'!K36</f>
        <v>1756.6000000000001</v>
      </c>
      <c r="L7" s="104">
        <f>-'4-DRE'!L36</f>
        <v>1948.1000000000001</v>
      </c>
      <c r="M7" s="104">
        <f>-'4-DRE'!M36</f>
        <v>2139.6</v>
      </c>
      <c r="N7" s="104">
        <f>-'4-DRE'!N36</f>
        <v>2331.1</v>
      </c>
      <c r="O7" s="104">
        <f>-'4-DRE'!O36</f>
        <v>2522.6000000000004</v>
      </c>
      <c r="P7" s="104" t="e">
        <f>-'4-DRE'!#REF!</f>
        <v>#REF!</v>
      </c>
      <c r="Q7" s="104" t="e">
        <f>-'4-DRE'!#REF!</f>
        <v>#REF!</v>
      </c>
      <c r="R7" s="104" t="e">
        <f>-'4-DRE'!#REF!</f>
        <v>#REF!</v>
      </c>
      <c r="S7" s="104" t="e">
        <f>-'4-DRE'!#REF!</f>
        <v>#REF!</v>
      </c>
      <c r="T7" s="104" t="e">
        <f>-'4-DRE'!#REF!</f>
        <v>#REF!</v>
      </c>
      <c r="U7" s="104" t="e">
        <f>-'4-DRE'!#REF!</f>
        <v>#REF!</v>
      </c>
      <c r="V7" s="104" t="e">
        <f>-'4-DRE'!#REF!</f>
        <v>#REF!</v>
      </c>
      <c r="W7" s="104" t="e">
        <f>-'4-DRE'!#REF!</f>
        <v>#REF!</v>
      </c>
      <c r="X7" s="104" t="e">
        <f>-'4-DRE'!#REF!</f>
        <v>#REF!</v>
      </c>
      <c r="Y7" s="104" t="e">
        <f>-'4-DRE'!#REF!</f>
        <v>#REF!</v>
      </c>
    </row>
    <row r="8" spans="2:25">
      <c r="B8" t="s">
        <v>158</v>
      </c>
      <c r="C8" s="104">
        <f>-'2-Premissas'!C70</f>
        <v>-2000</v>
      </c>
      <c r="D8" s="104">
        <f>-'2-Premissas'!D70</f>
        <v>-2000</v>
      </c>
      <c r="E8" s="104">
        <f>-'2-Premissas'!E70</f>
        <v>-1500</v>
      </c>
      <c r="F8" s="104">
        <f>-'2-Premissas'!F70</f>
        <v>-1500</v>
      </c>
      <c r="G8" s="104">
        <f>-'2-Premissas'!G70</f>
        <v>-3830</v>
      </c>
      <c r="H8" s="104">
        <f>-'2-Premissas'!H70</f>
        <v>-3830</v>
      </c>
      <c r="I8" s="104">
        <f>-'2-Premissas'!I70</f>
        <v>-3830</v>
      </c>
      <c r="J8" s="104">
        <f>-'2-Premissas'!J70</f>
        <v>-3830</v>
      </c>
      <c r="K8" s="104">
        <f>-'2-Premissas'!K70</f>
        <v>-3830</v>
      </c>
      <c r="L8" s="104">
        <f>-'2-Premissas'!L70</f>
        <v>-3830</v>
      </c>
      <c r="M8" s="104">
        <f>-'2-Premissas'!M70</f>
        <v>-3830</v>
      </c>
      <c r="N8" s="104">
        <f>-'2-Premissas'!N70</f>
        <v>-3830</v>
      </c>
      <c r="O8" s="104">
        <f>-'2-Premissas'!O70</f>
        <v>-3830</v>
      </c>
      <c r="P8" s="104" t="e">
        <f>-'2-Premissas'!#REF!</f>
        <v>#REF!</v>
      </c>
      <c r="Q8" s="104" t="e">
        <f>-'2-Premissas'!#REF!</f>
        <v>#REF!</v>
      </c>
      <c r="R8" s="104" t="e">
        <f>-'2-Premissas'!#REF!</f>
        <v>#REF!</v>
      </c>
      <c r="S8" s="104" t="e">
        <f>-'2-Premissas'!#REF!</f>
        <v>#REF!</v>
      </c>
      <c r="T8" s="104" t="e">
        <f>-'2-Premissas'!#REF!</f>
        <v>#REF!</v>
      </c>
      <c r="U8" s="104" t="e">
        <f>-'2-Premissas'!#REF!</f>
        <v>#REF!</v>
      </c>
      <c r="V8" s="104" t="e">
        <f>-'2-Premissas'!#REF!</f>
        <v>#REF!</v>
      </c>
      <c r="W8" s="104" t="e">
        <f>-'2-Premissas'!#REF!</f>
        <v>#REF!</v>
      </c>
      <c r="X8" s="104" t="e">
        <f>-'2-Premissas'!#REF!</f>
        <v>#REF!</v>
      </c>
      <c r="Y8" s="104" t="e">
        <f>-'2-Premissas'!#REF!</f>
        <v>#REF!</v>
      </c>
    </row>
    <row r="9" spans="2:25" ht="16.2">
      <c r="B9" t="s">
        <v>180</v>
      </c>
      <c r="C9" s="106">
        <f>'5-FC'!C18</f>
        <v>-1124.7565401128809</v>
      </c>
      <c r="D9" s="106">
        <f>'5-FC'!D18</f>
        <v>-361.02709880106011</v>
      </c>
      <c r="E9" s="106">
        <f>'5-FC'!E18</f>
        <v>-367.16255057154603</v>
      </c>
      <c r="F9" s="106">
        <f>'5-FC'!F18</f>
        <v>-393.19843531049719</v>
      </c>
      <c r="G9" s="106">
        <f>'5-FC'!G18</f>
        <v>-454.38539590694563</v>
      </c>
      <c r="H9" s="106">
        <f>'5-FC'!H18</f>
        <v>-521.8068256267112</v>
      </c>
      <c r="I9" s="106">
        <f>'5-FC'!I18</f>
        <v>-70.20121007375414</v>
      </c>
      <c r="J9" s="106">
        <f>'5-FC'!J18</f>
        <v>-58.547378739870624</v>
      </c>
      <c r="K9" s="106">
        <f>'5-FC'!K18</f>
        <v>-164.24590641000566</v>
      </c>
      <c r="L9" s="106">
        <f>'5-FC'!L18</f>
        <v>-363.31594053012282</v>
      </c>
      <c r="M9" s="106">
        <f>'5-FC'!M18</f>
        <v>-393.18246587271864</v>
      </c>
      <c r="N9" s="106">
        <f>'5-FC'!N18</f>
        <v>-425.53783314312182</v>
      </c>
      <c r="O9" s="106">
        <f>'5-FC'!O18</f>
        <v>-460.59170145095021</v>
      </c>
      <c r="P9" s="106" t="e">
        <f>'5-FC'!#REF!</f>
        <v>#REF!</v>
      </c>
      <c r="Q9" s="106" t="e">
        <f>'5-FC'!#REF!</f>
        <v>#REF!</v>
      </c>
      <c r="R9" s="106" t="e">
        <f>'5-FC'!#REF!</f>
        <v>#REF!</v>
      </c>
      <c r="S9" s="106" t="e">
        <f>'5-FC'!#REF!</f>
        <v>#REF!</v>
      </c>
      <c r="T9" s="106" t="e">
        <f>'5-FC'!#REF!</f>
        <v>#REF!</v>
      </c>
      <c r="U9" s="106" t="e">
        <f>'5-FC'!#REF!</f>
        <v>#REF!</v>
      </c>
      <c r="V9" s="106" t="e">
        <f>'5-FC'!#REF!</f>
        <v>#REF!</v>
      </c>
      <c r="W9" s="106" t="e">
        <f>'5-FC'!#REF!</f>
        <v>#REF!</v>
      </c>
      <c r="X9" s="106" t="e">
        <f>'5-FC'!#REF!</f>
        <v>#REF!</v>
      </c>
      <c r="Y9" s="106" t="e">
        <f>'5-FC'!#REF!</f>
        <v>#REF!</v>
      </c>
    </row>
    <row r="10" spans="2:25" ht="13.8">
      <c r="B10" s="107" t="s">
        <v>164</v>
      </c>
      <c r="C10" s="105">
        <f t="shared" ref="C10:Y10" si="0">SUM(C6:C9)</f>
        <v>242.2259758362211</v>
      </c>
      <c r="D10" s="105">
        <f t="shared" si="0"/>
        <v>1228.7921889002605</v>
      </c>
      <c r="E10" s="105">
        <f t="shared" si="0"/>
        <v>2251.1030654079</v>
      </c>
      <c r="F10" s="105">
        <f t="shared" si="0"/>
        <v>2819.201442467891</v>
      </c>
      <c r="G10" s="105">
        <f t="shared" si="0"/>
        <v>1219.1032399407577</v>
      </c>
      <c r="H10" s="105">
        <f t="shared" si="0"/>
        <v>2171.119041698445</v>
      </c>
      <c r="I10" s="105">
        <f t="shared" si="0"/>
        <v>4279.1543132545394</v>
      </c>
      <c r="J10" s="105">
        <f t="shared" si="0"/>
        <v>6209.4115433928446</v>
      </c>
      <c r="K10" s="105">
        <f t="shared" si="0"/>
        <v>8155.5448888828942</v>
      </c>
      <c r="L10" s="105">
        <f t="shared" si="0"/>
        <v>10336.047993422726</v>
      </c>
      <c r="M10" s="105">
        <f t="shared" si="0"/>
        <v>13067.28405148021</v>
      </c>
      <c r="N10" s="105">
        <f t="shared" si="0"/>
        <v>16239.89535253238</v>
      </c>
      <c r="O10" s="105">
        <f t="shared" si="0"/>
        <v>19925.888598298985</v>
      </c>
      <c r="P10" s="105" t="e">
        <f t="shared" si="0"/>
        <v>#REF!</v>
      </c>
      <c r="Q10" s="105" t="e">
        <f t="shared" si="0"/>
        <v>#REF!</v>
      </c>
      <c r="R10" s="105" t="e">
        <f t="shared" si="0"/>
        <v>#REF!</v>
      </c>
      <c r="S10" s="105" t="e">
        <f t="shared" si="0"/>
        <v>#REF!</v>
      </c>
      <c r="T10" s="105" t="e">
        <f t="shared" si="0"/>
        <v>#REF!</v>
      </c>
      <c r="U10" s="105" t="e">
        <f t="shared" si="0"/>
        <v>#REF!</v>
      </c>
      <c r="V10" s="105" t="e">
        <f t="shared" si="0"/>
        <v>#REF!</v>
      </c>
      <c r="W10" s="105" t="e">
        <f t="shared" si="0"/>
        <v>#REF!</v>
      </c>
      <c r="X10" s="105" t="e">
        <f t="shared" si="0"/>
        <v>#REF!</v>
      </c>
      <c r="Y10" s="105" t="e">
        <f t="shared" si="0"/>
        <v>#REF!</v>
      </c>
    </row>
    <row r="11" spans="2:25" ht="13.8">
      <c r="B11" s="107"/>
      <c r="C11" s="105"/>
      <c r="D11" s="105"/>
      <c r="E11" s="105"/>
      <c r="F11" s="105"/>
      <c r="G11" s="105"/>
      <c r="H11" s="105"/>
      <c r="I11" s="105"/>
      <c r="J11" s="105"/>
      <c r="K11" s="105"/>
      <c r="L11" s="105"/>
      <c r="M11" s="105"/>
      <c r="N11" s="105"/>
      <c r="O11" s="105"/>
      <c r="P11" s="105"/>
      <c r="Q11" s="105"/>
      <c r="R11" s="105"/>
      <c r="S11" s="105"/>
      <c r="T11" s="105"/>
      <c r="U11" s="105"/>
      <c r="V11" s="105"/>
      <c r="W11" s="105"/>
      <c r="X11" s="105"/>
      <c r="Y11" s="105"/>
    </row>
    <row r="12" spans="2:25" ht="13.8">
      <c r="B12" s="107"/>
      <c r="C12" s="105"/>
      <c r="D12" s="105"/>
      <c r="E12" s="105"/>
      <c r="F12" s="105"/>
      <c r="G12" s="105"/>
      <c r="H12" s="105"/>
      <c r="I12" s="105"/>
      <c r="J12" s="105"/>
      <c r="K12" s="105"/>
      <c r="L12" s="105"/>
      <c r="M12" s="105"/>
      <c r="N12" s="105"/>
      <c r="O12" s="105"/>
      <c r="P12" s="105"/>
      <c r="Q12" s="105"/>
      <c r="R12" s="105"/>
      <c r="S12" s="105"/>
      <c r="T12" s="105"/>
      <c r="U12" s="105"/>
      <c r="V12" s="105"/>
      <c r="W12" s="105"/>
      <c r="X12" s="105"/>
      <c r="Y12" s="105"/>
    </row>
    <row r="13" spans="2:25">
      <c r="B13" s="107" t="s">
        <v>183</v>
      </c>
      <c r="C13" s="124">
        <f>'7-Cálculos'!D19</f>
        <v>0.19076424523452346</v>
      </c>
      <c r="D13" s="124">
        <f>'7-Cálculos'!E19</f>
        <v>0.15712018381450907</v>
      </c>
      <c r="E13" s="124">
        <f>'7-Cálculos'!F19</f>
        <v>0.15522966632026658</v>
      </c>
      <c r="F13" s="124">
        <f>'7-Cálculos'!G19</f>
        <v>0.14517504474237217</v>
      </c>
      <c r="G13" s="124">
        <f>'7-Cálculos'!H19</f>
        <v>0.14088770360989855</v>
      </c>
      <c r="H13" s="124">
        <f>'7-Cálculos'!I19</f>
        <v>0.12965346548041307</v>
      </c>
      <c r="I13" s="124">
        <f>'7-Cálculos'!J19</f>
        <v>0.12681315523507469</v>
      </c>
      <c r="J13" s="124">
        <f>'7-Cálculos'!K19</f>
        <v>0.1274707990673338</v>
      </c>
      <c r="K13" s="124">
        <f>'7-Cálculos'!L19</f>
        <v>0.12807104015462284</v>
      </c>
      <c r="L13" s="124">
        <f>'7-Cálculos'!M19</f>
        <v>0.12988843993382426</v>
      </c>
      <c r="M13" s="124">
        <f>'7-Cálculos'!N19</f>
        <v>0.13145208037634817</v>
      </c>
      <c r="N13" s="124">
        <f>'7-Cálculos'!O19</f>
        <v>0.13272391395123836</v>
      </c>
      <c r="O13" s="124">
        <f>'7-Cálculos'!P19</f>
        <v>0.13381810176760861</v>
      </c>
      <c r="P13" s="124" t="e">
        <f>'7-Cálculos'!#REF!</f>
        <v>#REF!</v>
      </c>
      <c r="Q13" s="124" t="e">
        <f>'7-Cálculos'!#REF!</f>
        <v>#REF!</v>
      </c>
      <c r="R13" s="124" t="e">
        <f>'7-Cálculos'!#REF!</f>
        <v>#REF!</v>
      </c>
      <c r="S13" s="124" t="e">
        <f>'7-Cálculos'!#REF!</f>
        <v>#REF!</v>
      </c>
      <c r="T13" s="124" t="e">
        <f>'7-Cálculos'!#REF!</f>
        <v>#REF!</v>
      </c>
      <c r="U13" s="124" t="e">
        <f>'7-Cálculos'!#REF!</f>
        <v>#REF!</v>
      </c>
      <c r="V13" s="124" t="e">
        <f>'7-Cálculos'!#REF!</f>
        <v>#REF!</v>
      </c>
      <c r="W13" s="124" t="e">
        <f>'7-Cálculos'!#REF!</f>
        <v>#REF!</v>
      </c>
      <c r="X13" s="124" t="e">
        <f>'7-Cálculos'!#REF!</f>
        <v>#REF!</v>
      </c>
      <c r="Y13" s="124" t="e">
        <f>'7-Cálculos'!#REF!</f>
        <v>#REF!</v>
      </c>
    </row>
    <row r="14" spans="2:25" ht="15.6">
      <c r="B14" s="107" t="s">
        <v>207</v>
      </c>
      <c r="C14" s="132">
        <f>1+C13</f>
        <v>1.1907642452345235</v>
      </c>
      <c r="D14" s="132">
        <f>C14*(1+D13)</f>
        <v>1.3778573423255169</v>
      </c>
      <c r="E14" s="132">
        <f t="shared" ref="E14:Y14" si="1">D14*(1+E13)</f>
        <v>1.5917416778116362</v>
      </c>
      <c r="F14" s="132">
        <f t="shared" si="1"/>
        <v>1.8228228471062389</v>
      </c>
      <c r="G14" s="132">
        <f t="shared" si="1"/>
        <v>2.0796361721226941</v>
      </c>
      <c r="H14" s="132">
        <f t="shared" si="1"/>
        <v>2.3492682087768224</v>
      </c>
      <c r="I14" s="132">
        <f t="shared" si="1"/>
        <v>2.6471863228252634</v>
      </c>
      <c r="J14" s="132">
        <f t="shared" si="1"/>
        <v>2.9846252786759169</v>
      </c>
      <c r="K14" s="132">
        <f t="shared" si="1"/>
        <v>3.3668693425877225</v>
      </c>
      <c r="L14" s="132">
        <f t="shared" si="1"/>
        <v>3.8041867489574623</v>
      </c>
      <c r="M14" s="132">
        <f t="shared" si="1"/>
        <v>4.3042550112480571</v>
      </c>
      <c r="N14" s="132">
        <f t="shared" si="1"/>
        <v>4.875532582985131</v>
      </c>
      <c r="O14" s="132">
        <f t="shared" si="1"/>
        <v>5.5279670983463269</v>
      </c>
      <c r="P14" s="132" t="e">
        <f t="shared" si="1"/>
        <v>#REF!</v>
      </c>
      <c r="Q14" s="132" t="e">
        <f t="shared" si="1"/>
        <v>#REF!</v>
      </c>
      <c r="R14" s="132" t="e">
        <f t="shared" si="1"/>
        <v>#REF!</v>
      </c>
      <c r="S14" s="132" t="e">
        <f t="shared" si="1"/>
        <v>#REF!</v>
      </c>
      <c r="T14" s="132" t="e">
        <f t="shared" si="1"/>
        <v>#REF!</v>
      </c>
      <c r="U14" s="132" t="e">
        <f t="shared" si="1"/>
        <v>#REF!</v>
      </c>
      <c r="V14" s="132" t="e">
        <f t="shared" si="1"/>
        <v>#REF!</v>
      </c>
      <c r="W14" s="132" t="e">
        <f t="shared" si="1"/>
        <v>#REF!</v>
      </c>
      <c r="X14" s="132" t="e">
        <f t="shared" si="1"/>
        <v>#REF!</v>
      </c>
      <c r="Y14" s="132" t="e">
        <f t="shared" si="1"/>
        <v>#REF!</v>
      </c>
    </row>
    <row r="15" spans="2:25">
      <c r="B15" s="107" t="s">
        <v>209</v>
      </c>
      <c r="C15" s="135">
        <f>C10/C14</f>
        <v>203.42059883441846</v>
      </c>
      <c r="D15" s="135">
        <f>D10/D14</f>
        <v>891.81379752009184</v>
      </c>
      <c r="E15" s="135">
        <f t="shared" ref="E15:Y15" si="2">E10/E14</f>
        <v>1414.238941398311</v>
      </c>
      <c r="F15" s="135">
        <f t="shared" si="2"/>
        <v>1546.6129618374157</v>
      </c>
      <c r="G15" s="135">
        <f t="shared" si="2"/>
        <v>586.20986511136391</v>
      </c>
      <c r="H15" s="135">
        <f t="shared" si="2"/>
        <v>924.16822974370677</v>
      </c>
      <c r="I15" s="135">
        <f t="shared" si="2"/>
        <v>1616.4915466500011</v>
      </c>
      <c r="J15" s="135">
        <f t="shared" si="2"/>
        <v>2080.4660430094441</v>
      </c>
      <c r="K15" s="135">
        <f t="shared" si="2"/>
        <v>2422.2932519901919</v>
      </c>
      <c r="L15" s="135">
        <f t="shared" si="2"/>
        <v>2717.0190833179577</v>
      </c>
      <c r="M15" s="135">
        <f t="shared" si="2"/>
        <v>3035.8991317503828</v>
      </c>
      <c r="N15" s="135">
        <f t="shared" si="2"/>
        <v>3330.896692026457</v>
      </c>
      <c r="O15" s="136">
        <f>O23/N14</f>
        <v>39366.114460776575</v>
      </c>
      <c r="P15" s="135" t="e">
        <f t="shared" si="2"/>
        <v>#REF!</v>
      </c>
      <c r="Q15" s="135" t="e">
        <f t="shared" si="2"/>
        <v>#REF!</v>
      </c>
      <c r="R15" s="135" t="e">
        <f t="shared" si="2"/>
        <v>#REF!</v>
      </c>
      <c r="S15" s="135" t="e">
        <f t="shared" si="2"/>
        <v>#REF!</v>
      </c>
      <c r="T15" s="135" t="e">
        <f t="shared" si="2"/>
        <v>#REF!</v>
      </c>
      <c r="U15" s="135" t="e">
        <f t="shared" si="2"/>
        <v>#REF!</v>
      </c>
      <c r="V15" s="135" t="e">
        <f t="shared" si="2"/>
        <v>#REF!</v>
      </c>
      <c r="W15" s="135" t="e">
        <f t="shared" si="2"/>
        <v>#REF!</v>
      </c>
      <c r="X15" s="135" t="e">
        <f t="shared" si="2"/>
        <v>#REF!</v>
      </c>
      <c r="Y15" s="135" t="e">
        <f t="shared" si="2"/>
        <v>#REF!</v>
      </c>
    </row>
    <row r="16" spans="2:25">
      <c r="B16" s="107" t="s">
        <v>206</v>
      </c>
      <c r="C16" s="258">
        <f>SUM(C15:O15)</f>
        <v>60135.644603966313</v>
      </c>
      <c r="D16" s="135"/>
      <c r="E16" s="135"/>
      <c r="F16" s="135"/>
      <c r="G16" s="135"/>
      <c r="H16" s="135"/>
      <c r="I16" s="135"/>
      <c r="J16" s="135"/>
      <c r="K16" s="135"/>
      <c r="L16" s="135"/>
      <c r="M16" s="135"/>
      <c r="N16" s="135"/>
      <c r="P16" s="135" t="e">
        <f>SUM(P15:$Y$15)</f>
        <v>#REF!</v>
      </c>
      <c r="Q16" s="135" t="e">
        <f>SUM(Q15:$Y$15)</f>
        <v>#REF!</v>
      </c>
      <c r="R16" s="135" t="e">
        <f>SUM(R15:$Y$15)</f>
        <v>#REF!</v>
      </c>
      <c r="S16" s="135" t="e">
        <f>SUM(S15:$Y$15)</f>
        <v>#REF!</v>
      </c>
      <c r="T16" s="135" t="e">
        <f>SUM(T15:$Y$15)</f>
        <v>#REF!</v>
      </c>
      <c r="U16" s="135" t="e">
        <f>SUM(U15:$Y$15)</f>
        <v>#REF!</v>
      </c>
      <c r="V16" s="135" t="e">
        <f>SUM(V15:$Y$15)</f>
        <v>#REF!</v>
      </c>
      <c r="W16" s="135" t="e">
        <f>SUM(W15:$Y$15)</f>
        <v>#REF!</v>
      </c>
      <c r="X16" s="135" t="e">
        <f>SUM(X15:$Y$15)</f>
        <v>#REF!</v>
      </c>
      <c r="Y16" s="135" t="e">
        <f>SUM(Y15:$Y$15)</f>
        <v>#REF!</v>
      </c>
    </row>
    <row r="17" spans="2:25">
      <c r="B17" s="107" t="s">
        <v>210</v>
      </c>
      <c r="C17" s="211">
        <f>+'3-Balanço'!D8</f>
        <v>1249</v>
      </c>
      <c r="D17" s="211"/>
      <c r="E17" s="211"/>
      <c r="F17" s="135"/>
      <c r="G17" s="135"/>
      <c r="H17" s="135"/>
      <c r="I17" s="135"/>
      <c r="J17" s="135"/>
      <c r="K17" s="135"/>
      <c r="L17" s="135"/>
      <c r="M17" s="135"/>
      <c r="N17" s="135"/>
      <c r="O17" s="135"/>
      <c r="P17" s="135"/>
      <c r="Q17" s="135"/>
      <c r="R17" s="135"/>
      <c r="S17" s="135"/>
      <c r="T17" s="135"/>
      <c r="U17" s="135"/>
      <c r="V17" s="135"/>
      <c r="W17" s="135"/>
      <c r="X17" s="135"/>
      <c r="Y17" s="135"/>
    </row>
    <row r="18" spans="2:25">
      <c r="B18" s="107" t="s">
        <v>316</v>
      </c>
      <c r="C18" s="211">
        <f>+'3-Balanço'!D12+'3-Balanço'!D13+'3-Balanço'!D36</f>
        <v>2091</v>
      </c>
      <c r="D18" s="211"/>
      <c r="E18" s="211"/>
      <c r="F18" s="135"/>
      <c r="G18" s="135"/>
      <c r="H18" s="135"/>
      <c r="I18" s="135"/>
      <c r="J18" s="135"/>
      <c r="K18" s="135"/>
      <c r="L18" s="135"/>
      <c r="M18" s="135"/>
      <c r="N18" s="135"/>
      <c r="O18" s="135"/>
      <c r="P18" s="135"/>
      <c r="Q18" s="135"/>
      <c r="R18" s="135"/>
      <c r="S18" s="135"/>
      <c r="T18" s="135"/>
      <c r="U18" s="135"/>
      <c r="V18" s="135"/>
      <c r="W18" s="135"/>
      <c r="X18" s="135"/>
      <c r="Y18" s="135"/>
    </row>
    <row r="19" spans="2:25">
      <c r="B19" s="107" t="s">
        <v>150</v>
      </c>
      <c r="C19" s="259">
        <f>'3-Balanço'!E20</f>
        <v>1159</v>
      </c>
      <c r="D19" s="211"/>
      <c r="E19" s="211"/>
      <c r="F19" s="135"/>
      <c r="G19" s="135"/>
      <c r="H19" s="135"/>
      <c r="I19" s="135"/>
      <c r="J19" s="135"/>
      <c r="K19" s="135"/>
      <c r="L19" s="135"/>
      <c r="M19" s="135"/>
      <c r="N19" s="135"/>
      <c r="O19" s="135"/>
      <c r="P19" s="135" t="e">
        <f>'3-Balanço'!#REF!</f>
        <v>#REF!</v>
      </c>
      <c r="Q19" s="135" t="e">
        <f>'3-Balanço'!#REF!</f>
        <v>#REF!</v>
      </c>
      <c r="R19" s="135" t="e">
        <f>'3-Balanço'!#REF!</f>
        <v>#REF!</v>
      </c>
      <c r="S19" s="135" t="e">
        <f>'3-Balanço'!#REF!</f>
        <v>#REF!</v>
      </c>
      <c r="T19" s="135" t="e">
        <f>'3-Balanço'!#REF!</f>
        <v>#REF!</v>
      </c>
      <c r="U19" s="135" t="e">
        <f>'3-Balanço'!#REF!</f>
        <v>#REF!</v>
      </c>
      <c r="V19" s="135" t="e">
        <f>'3-Balanço'!#REF!</f>
        <v>#REF!</v>
      </c>
      <c r="W19" s="135" t="e">
        <f>'3-Balanço'!#REF!</f>
        <v>#REF!</v>
      </c>
      <c r="X19" s="135" t="e">
        <f>'3-Balanço'!#REF!</f>
        <v>#REF!</v>
      </c>
      <c r="Y19" s="135" t="e">
        <f>'3-Balanço'!#REF!</f>
        <v>#REF!</v>
      </c>
    </row>
    <row r="20" spans="2:25">
      <c r="B20" s="107" t="s">
        <v>317</v>
      </c>
      <c r="C20" s="258">
        <f>SUM(C16:C19)</f>
        <v>64634.644603966313</v>
      </c>
      <c r="D20" s="211"/>
      <c r="E20" s="211"/>
      <c r="F20" s="135"/>
      <c r="G20" s="135"/>
      <c r="H20" s="135"/>
      <c r="I20" s="135"/>
      <c r="J20" s="135"/>
      <c r="K20" s="135"/>
      <c r="L20" s="135"/>
      <c r="M20" s="135"/>
      <c r="N20" s="135"/>
      <c r="O20" s="135"/>
      <c r="P20" s="135"/>
      <c r="Q20" s="135"/>
      <c r="R20" s="135"/>
      <c r="S20" s="135"/>
      <c r="T20" s="135"/>
      <c r="U20" s="135"/>
      <c r="V20" s="135"/>
      <c r="W20" s="135"/>
      <c r="X20" s="135"/>
      <c r="Y20" s="135"/>
    </row>
    <row r="21" spans="2:25">
      <c r="B21" s="107" t="s">
        <v>268</v>
      </c>
      <c r="C21" s="106">
        <v>-3382</v>
      </c>
      <c r="D21" s="211"/>
      <c r="E21" s="211"/>
      <c r="F21" s="135"/>
      <c r="G21" s="135"/>
      <c r="H21" s="135"/>
      <c r="I21" s="135"/>
      <c r="J21" s="135"/>
      <c r="K21" s="135"/>
      <c r="L21" s="135"/>
      <c r="M21" s="135"/>
      <c r="N21" s="135"/>
      <c r="O21" s="135"/>
      <c r="P21" s="135"/>
      <c r="Q21" s="135"/>
      <c r="R21" s="135"/>
      <c r="S21" s="135"/>
      <c r="T21" s="135"/>
      <c r="U21" s="135"/>
      <c r="V21" s="135"/>
      <c r="W21" s="135"/>
      <c r="X21" s="135"/>
      <c r="Y21" s="135"/>
    </row>
    <row r="22" spans="2:25">
      <c r="B22" s="107" t="s">
        <v>318</v>
      </c>
      <c r="C22" s="258">
        <f>SUM(C20:C21)</f>
        <v>61252.644603966313</v>
      </c>
      <c r="D22" s="211"/>
      <c r="E22" s="211"/>
      <c r="F22" s="135"/>
      <c r="G22" s="135"/>
      <c r="H22" s="135"/>
      <c r="I22" s="135"/>
      <c r="J22" s="135"/>
      <c r="K22" s="135"/>
      <c r="L22" s="135"/>
      <c r="M22" s="135"/>
      <c r="N22" s="135"/>
      <c r="O22" s="135"/>
      <c r="P22" s="135"/>
      <c r="Q22" s="135"/>
      <c r="R22" s="135"/>
      <c r="S22" s="135"/>
      <c r="T22" s="135"/>
      <c r="U22" s="135"/>
      <c r="V22" s="135"/>
      <c r="W22" s="135"/>
      <c r="X22" s="135"/>
      <c r="Y22" s="135"/>
    </row>
    <row r="23" spans="2:25">
      <c r="B23" s="107" t="s">
        <v>319</v>
      </c>
      <c r="C23" s="259">
        <f>'2-Premissas'!C80/1000000</f>
        <v>1165.6771679999999</v>
      </c>
      <c r="D23" s="211"/>
      <c r="E23" s="211"/>
      <c r="F23" s="135"/>
      <c r="G23" s="135"/>
      <c r="H23" s="135"/>
      <c r="I23" s="135"/>
      <c r="J23" s="135"/>
      <c r="K23" s="135"/>
      <c r="L23" s="135"/>
      <c r="M23" s="135"/>
      <c r="N23" s="135"/>
      <c r="O23" s="135">
        <f>O10/(O13-'2-Premissas'!$C$82)</f>
        <v>191930.77371903835</v>
      </c>
      <c r="P23" s="135"/>
      <c r="Q23" s="135"/>
      <c r="R23" s="135"/>
      <c r="S23" s="135"/>
      <c r="T23" s="135"/>
      <c r="U23" s="135"/>
      <c r="V23" s="135"/>
      <c r="W23" s="135"/>
      <c r="X23" s="135"/>
      <c r="Y23" s="135"/>
    </row>
    <row r="24" spans="2:25" ht="16.2">
      <c r="B24" s="107" t="s">
        <v>263</v>
      </c>
      <c r="C24" s="260">
        <f>C22/C23+'4-DRE'!C55</f>
        <v>55.075873090014838</v>
      </c>
      <c r="D24" s="211"/>
      <c r="E24" s="211"/>
      <c r="O24" s="136">
        <f>O23/N14</f>
        <v>39366.114460776575</v>
      </c>
    </row>
    <row r="25" spans="2:25" ht="16.2">
      <c r="B25" s="208" t="s">
        <v>267</v>
      </c>
      <c r="C25" s="257">
        <f>C24*'7-Cálculos'!D23</f>
        <v>137.6896827250371</v>
      </c>
      <c r="D25" s="211"/>
      <c r="E25" s="211"/>
      <c r="O25" s="136"/>
    </row>
    <row r="26" spans="2:25" ht="16.2">
      <c r="B26" s="208" t="s">
        <v>320</v>
      </c>
      <c r="C26" s="261">
        <f>(+'2-Premissas'!C78/2+1)/1000000</f>
        <v>374.9747155</v>
      </c>
      <c r="D26" s="211"/>
      <c r="E26" s="211"/>
      <c r="O26" s="136"/>
    </row>
    <row r="27" spans="2:25" ht="16.2">
      <c r="B27" s="107" t="s">
        <v>321</v>
      </c>
      <c r="C27" s="257">
        <f>+C25*C26</f>
        <v>51630.149607106054</v>
      </c>
      <c r="D27" s="211"/>
      <c r="E27" s="211"/>
      <c r="O27" s="136"/>
    </row>
    <row r="28" spans="2:25">
      <c r="B28" s="107"/>
      <c r="C28" s="211"/>
      <c r="D28" s="211"/>
      <c r="E28" s="211"/>
      <c r="O28" s="136"/>
    </row>
    <row r="29" spans="2:25" ht="13.8">
      <c r="B29" s="107" t="s">
        <v>256</v>
      </c>
      <c r="C29" s="134">
        <f>'7-Cálculos'!C15</f>
        <v>0.82058582870861851</v>
      </c>
      <c r="D29" s="134"/>
      <c r="E29" s="134"/>
      <c r="F29" s="134"/>
      <c r="G29" s="134"/>
      <c r="H29" s="134"/>
      <c r="I29" s="134"/>
      <c r="J29" s="134"/>
      <c r="K29" s="134"/>
      <c r="L29" s="134"/>
      <c r="M29" s="134"/>
      <c r="N29" s="134"/>
      <c r="O29" s="134"/>
      <c r="P29" s="134" t="e">
        <f>$C$30/(1+('7-Cálculos'!#REF!/'7-Cálculos'!#REF!*(1-'2-Premissas'!#REF!)))</f>
        <v>#REF!</v>
      </c>
      <c r="Q29" s="134" t="e">
        <f>$C$30/(1+('7-Cálculos'!#REF!/'7-Cálculos'!#REF!*(1-'2-Premissas'!#REF!)))</f>
        <v>#REF!</v>
      </c>
      <c r="R29" s="134" t="e">
        <f>$C$30/(1+('7-Cálculos'!#REF!/'7-Cálculos'!#REF!*(1-'2-Premissas'!#REF!)))</f>
        <v>#REF!</v>
      </c>
      <c r="S29" s="134" t="e">
        <f>$C$30/(1+('7-Cálculos'!#REF!/'7-Cálculos'!#REF!*(1-'2-Premissas'!#REF!)))</f>
        <v>#REF!</v>
      </c>
      <c r="T29" s="134" t="e">
        <f>$C$30/(1+('7-Cálculos'!#REF!/'7-Cálculos'!#REF!*(1-'2-Premissas'!#REF!)))</f>
        <v>#REF!</v>
      </c>
      <c r="U29" s="134" t="e">
        <f>$C$30/(1+('7-Cálculos'!#REF!/'7-Cálculos'!#REF!*(1-'2-Premissas'!#REF!)))</f>
        <v>#REF!</v>
      </c>
      <c r="V29" s="134" t="e">
        <f>$C$30/(1+('7-Cálculos'!#REF!/'7-Cálculos'!#REF!*(1-'2-Premissas'!#REF!)))</f>
        <v>#REF!</v>
      </c>
      <c r="W29" s="134" t="e">
        <f>$C$30/(1+('7-Cálculos'!#REF!/'7-Cálculos'!#REF!*(1-'2-Premissas'!#REF!)))</f>
        <v>#REF!</v>
      </c>
      <c r="X29" s="134" t="e">
        <f>$C$30/(1+('7-Cálculos'!#REF!/'7-Cálculos'!#REF!*(1-'2-Premissas'!#REF!)))</f>
        <v>#REF!</v>
      </c>
      <c r="Y29" s="134" t="e">
        <f>$C$30/(1+('7-Cálculos'!#REF!/'7-Cálculos'!#REF!*(1-'2-Premissas'!#REF!)))</f>
        <v>#REF!</v>
      </c>
    </row>
    <row r="30" spans="2:25" ht="13.8">
      <c r="B30" s="107" t="s">
        <v>257</v>
      </c>
      <c r="C30" s="134">
        <f>'7-Cálculos'!D16</f>
        <v>0.8881881536418238</v>
      </c>
      <c r="D30" s="134">
        <f>'7-Cálculos'!E16</f>
        <v>0.88978137407081315</v>
      </c>
      <c r="E30" s="134">
        <f>'7-Cálculos'!F16</f>
        <v>0.8952940606377926</v>
      </c>
      <c r="F30" s="134">
        <f>'7-Cálculos'!G16</f>
        <v>0.90306073122461994</v>
      </c>
      <c r="G30" s="134">
        <f>'7-Cálculos'!H16</f>
        <v>0.87342783781040134</v>
      </c>
      <c r="H30" s="134">
        <f>'7-Cálculos'!I16</f>
        <v>0.87538537169889008</v>
      </c>
      <c r="I30" s="134">
        <f>'7-Cálculos'!J16</f>
        <v>0.87602401524352169</v>
      </c>
      <c r="J30" s="134">
        <f>'7-Cálculos'!K16</f>
        <v>0.87094878016448218</v>
      </c>
      <c r="K30" s="134">
        <f>'7-Cálculos'!L16</f>
        <v>0.86640730526476561</v>
      </c>
      <c r="L30" s="134">
        <f>'7-Cálculos'!M16</f>
        <v>0.85352507743292094</v>
      </c>
      <c r="M30" s="134">
        <f>'7-Cálculos'!N16</f>
        <v>0.8429450824605661</v>
      </c>
      <c r="N30" s="134">
        <f>'7-Cálculos'!O16</f>
        <v>0.83466741949627021</v>
      </c>
      <c r="O30" s="134">
        <f>'7-Cálculos'!P16</f>
        <v>0.83148743486362597</v>
      </c>
      <c r="P30" s="134" t="e">
        <f>'7-Cálculos'!#REF!</f>
        <v>#REF!</v>
      </c>
      <c r="Q30" s="134" t="e">
        <f>'7-Cálculos'!#REF!</f>
        <v>#REF!</v>
      </c>
      <c r="R30" s="134" t="e">
        <f>'7-Cálculos'!#REF!</f>
        <v>#REF!</v>
      </c>
      <c r="S30" s="134" t="e">
        <f>'7-Cálculos'!#REF!</f>
        <v>#REF!</v>
      </c>
      <c r="T30" s="134" t="e">
        <f>'7-Cálculos'!#REF!</f>
        <v>#REF!</v>
      </c>
      <c r="U30" s="134" t="e">
        <f>'7-Cálculos'!#REF!</f>
        <v>#REF!</v>
      </c>
      <c r="V30" s="134" t="e">
        <f>'7-Cálculos'!#REF!</f>
        <v>#REF!</v>
      </c>
      <c r="W30" s="134" t="e">
        <f>'7-Cálculos'!#REF!</f>
        <v>#REF!</v>
      </c>
      <c r="X30" s="134" t="e">
        <f>'7-Cálculos'!#REF!</f>
        <v>#REF!</v>
      </c>
      <c r="Y30" s="134" t="e">
        <f>'7-Cálculos'!#REF!</f>
        <v>#REF!</v>
      </c>
    </row>
    <row r="31" spans="2:25">
      <c r="B31" s="107"/>
      <c r="O31" s="136"/>
    </row>
    <row r="32" spans="2:25">
      <c r="B32" s="107"/>
      <c r="O32" s="136"/>
    </row>
  </sheetData>
  <phoneticPr fontId="0" type="noConversion"/>
  <hyperlinks>
    <hyperlink ref="B1" location="Índice!A1" display="Voltar" xr:uid="{00000000-0004-0000-0C00-000000000000}"/>
  </hyperlinks>
  <pageMargins left="0.15748031496062992" right="0.19685039370078741" top="0.98425196850393704" bottom="0.98425196850393704" header="0.51181102362204722" footer="0.51181102362204722"/>
  <pageSetup paperSize="9" scale="90" orientation="landscape" cellComments="asDisplayed" r:id="rId1"/>
  <headerFooter alignWithMargins="0"/>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B1:O26"/>
  <sheetViews>
    <sheetView showGridLines="0" zoomScale="85" zoomScaleNormal="85" workbookViewId="0">
      <pane xSplit="2" ySplit="4" topLeftCell="C5" activePane="bottomRight" state="frozen"/>
      <selection activeCell="D10" sqref="D10"/>
      <selection pane="topRight" activeCell="D10" sqref="D10"/>
      <selection pane="bottomLeft" activeCell="D10" sqref="D10"/>
      <selection pane="bottomRight" activeCell="B1" sqref="B1"/>
    </sheetView>
  </sheetViews>
  <sheetFormatPr defaultRowHeight="13.2"/>
  <cols>
    <col min="1" max="1" width="2.33203125" customWidth="1"/>
    <col min="2" max="2" width="38" bestFit="1" customWidth="1"/>
    <col min="3" max="3" width="14.88671875" bestFit="1" customWidth="1"/>
    <col min="4" max="4" width="9.44140625" bestFit="1" customWidth="1"/>
    <col min="15" max="15" width="10.109375" bestFit="1" customWidth="1"/>
  </cols>
  <sheetData>
    <row r="1" spans="2:15">
      <c r="B1" s="393" t="s">
        <v>353</v>
      </c>
    </row>
    <row r="2" spans="2:15" ht="16.2">
      <c r="B2" s="123" t="s">
        <v>163</v>
      </c>
    </row>
    <row r="3" spans="2:15" ht="13.8" thickBot="1"/>
    <row r="4" spans="2:15">
      <c r="B4" s="61"/>
      <c r="C4" s="108">
        <f>+'3-Balanço'!E5</f>
        <v>42369</v>
      </c>
      <c r="D4" s="108">
        <f>+'3-Balanço'!F5</f>
        <v>42735</v>
      </c>
      <c r="E4" s="108">
        <f>+'3-Balanço'!G5</f>
        <v>43100</v>
      </c>
      <c r="F4" s="108">
        <f>+'3-Balanço'!H5</f>
        <v>43465</v>
      </c>
      <c r="G4" s="108">
        <f>+'3-Balanço'!I5</f>
        <v>43830</v>
      </c>
      <c r="H4" s="108">
        <f>+'3-Balanço'!J5</f>
        <v>44196</v>
      </c>
      <c r="I4" s="108">
        <f>+'3-Balanço'!K5</f>
        <v>44561</v>
      </c>
      <c r="J4" s="108">
        <f>+'3-Balanço'!L5</f>
        <v>44926</v>
      </c>
      <c r="K4" s="108">
        <f>+'3-Balanço'!M5</f>
        <v>45291</v>
      </c>
      <c r="L4" s="108">
        <f>+'3-Balanço'!N5</f>
        <v>45657</v>
      </c>
      <c r="M4" s="108">
        <f>+'3-Balanço'!O5</f>
        <v>46022</v>
      </c>
      <c r="N4" s="108">
        <f>+'3-Balanço'!P5</f>
        <v>46387</v>
      </c>
      <c r="O4" s="108">
        <f>+'3-Balanço'!Q5</f>
        <v>46752</v>
      </c>
    </row>
    <row r="5" spans="2:15">
      <c r="C5" s="38"/>
      <c r="D5" s="38"/>
      <c r="E5" s="38"/>
      <c r="F5" s="38"/>
      <c r="G5" s="38"/>
      <c r="H5" s="38"/>
      <c r="I5" s="38"/>
      <c r="J5" s="38"/>
      <c r="K5" s="38"/>
      <c r="L5" s="38"/>
      <c r="M5" s="38"/>
      <c r="N5" s="38"/>
      <c r="O5" s="38"/>
    </row>
    <row r="6" spans="2:15">
      <c r="B6" t="s">
        <v>156</v>
      </c>
      <c r="C6" s="104">
        <f>'4-DRE'!C53</f>
        <v>2948.04316472959</v>
      </c>
      <c r="D6" s="104">
        <f>'4-DRE'!D53</f>
        <v>2994.6225708772431</v>
      </c>
      <c r="E6" s="104">
        <f>'4-DRE'!E53</f>
        <v>3424.6118109007093</v>
      </c>
      <c r="F6" s="104">
        <f>'4-DRE'!F53</f>
        <v>4017.5814847985257</v>
      </c>
      <c r="G6" s="104">
        <f>'4-DRE'!G53</f>
        <v>4840.9993726913999</v>
      </c>
      <c r="H6" s="104">
        <f>'4-DRE'!H53</f>
        <v>5539.769768687881</v>
      </c>
      <c r="I6" s="104">
        <f>'4-DRE'!I53</f>
        <v>6931.6100892943432</v>
      </c>
      <c r="J6" s="104">
        <f>'4-DRE'!J53</f>
        <v>8685.6926073240793</v>
      </c>
      <c r="K6" s="104">
        <f>'4-DRE'!K53</f>
        <v>10625.172507013212</v>
      </c>
      <c r="L6" s="104">
        <f>'4-DRE'!L53</f>
        <v>12940.228516405967</v>
      </c>
      <c r="M6" s="104">
        <f>'4-DRE'!M53</f>
        <v>15675.09097353413</v>
      </c>
      <c r="N6" s="104">
        <f>'4-DRE'!N53</f>
        <v>18931.579197229192</v>
      </c>
      <c r="O6" s="104">
        <f>'4-DRE'!O53</f>
        <v>22795.982465851775</v>
      </c>
    </row>
    <row r="7" spans="2:15">
      <c r="B7" t="s">
        <v>157</v>
      </c>
      <c r="C7" s="104">
        <f>-'4-DRE'!C36</f>
        <v>640.6</v>
      </c>
      <c r="D7" s="104">
        <f>-'4-DRE'!D36</f>
        <v>740.6</v>
      </c>
      <c r="E7" s="104">
        <f>-'4-DRE'!E36</f>
        <v>840.6</v>
      </c>
      <c r="F7" s="104">
        <f>-'4-DRE'!F36</f>
        <v>915.6</v>
      </c>
      <c r="G7" s="104">
        <f>-'4-DRE'!G36</f>
        <v>990.6</v>
      </c>
      <c r="H7" s="104">
        <f>-'4-DRE'!H36</f>
        <v>1182.1000000000001</v>
      </c>
      <c r="I7" s="104">
        <f>-'4-DRE'!I36</f>
        <v>1373.6000000000001</v>
      </c>
      <c r="J7" s="104">
        <f>-'4-DRE'!J36</f>
        <v>1565.1000000000001</v>
      </c>
      <c r="K7" s="104">
        <f>-'4-DRE'!K36</f>
        <v>1756.6000000000001</v>
      </c>
      <c r="L7" s="104">
        <f>-'4-DRE'!L36</f>
        <v>1948.1000000000001</v>
      </c>
      <c r="M7" s="104">
        <f>-'4-DRE'!M36</f>
        <v>2139.6</v>
      </c>
      <c r="N7" s="104">
        <f>-'4-DRE'!N36</f>
        <v>2331.1</v>
      </c>
      <c r="O7" s="104">
        <f>-'4-DRE'!O36</f>
        <v>2522.6000000000004</v>
      </c>
    </row>
    <row r="8" spans="2:15">
      <c r="B8" t="s">
        <v>158</v>
      </c>
      <c r="C8" s="104">
        <f>-'2-Premissas'!C70</f>
        <v>-2000</v>
      </c>
      <c r="D8" s="104">
        <f>-'2-Premissas'!D70</f>
        <v>-2000</v>
      </c>
      <c r="E8" s="104">
        <f>-'2-Premissas'!E70</f>
        <v>-1500</v>
      </c>
      <c r="F8" s="104">
        <f>-'2-Premissas'!F70</f>
        <v>-1500</v>
      </c>
      <c r="G8" s="104">
        <f>-'2-Premissas'!G70</f>
        <v>-3830</v>
      </c>
      <c r="H8" s="104">
        <f>-'2-Premissas'!H70</f>
        <v>-3830</v>
      </c>
      <c r="I8" s="104">
        <f>-'2-Premissas'!I70</f>
        <v>-3830</v>
      </c>
      <c r="J8" s="104">
        <f>-'2-Premissas'!J70</f>
        <v>-3830</v>
      </c>
      <c r="K8" s="104">
        <f>-'2-Premissas'!K70</f>
        <v>-3830</v>
      </c>
      <c r="L8" s="104">
        <f>-'2-Premissas'!L70</f>
        <v>-3830</v>
      </c>
      <c r="M8" s="104">
        <f>-'2-Premissas'!M70</f>
        <v>-3830</v>
      </c>
      <c r="N8" s="104">
        <f>-'2-Premissas'!N70</f>
        <v>-3830</v>
      </c>
      <c r="O8" s="104">
        <f>-'2-Premissas'!O70</f>
        <v>-3830</v>
      </c>
    </row>
    <row r="9" spans="2:15" ht="16.2">
      <c r="B9" t="s">
        <v>180</v>
      </c>
      <c r="C9" s="104">
        <f>'5-FC'!C18</f>
        <v>-1124.7565401128809</v>
      </c>
      <c r="D9" s="104">
        <f>'5-FC'!D18</f>
        <v>-361.02709880106011</v>
      </c>
      <c r="E9" s="104">
        <f>'5-FC'!E18</f>
        <v>-367.16255057154603</v>
      </c>
      <c r="F9" s="104">
        <f>'5-FC'!F18</f>
        <v>-393.19843531049719</v>
      </c>
      <c r="G9" s="104">
        <f>'5-FC'!G18</f>
        <v>-454.38539590694563</v>
      </c>
      <c r="H9" s="104">
        <f>'5-FC'!H18</f>
        <v>-521.8068256267112</v>
      </c>
      <c r="I9" s="104">
        <f>'5-FC'!I18</f>
        <v>-70.20121007375414</v>
      </c>
      <c r="J9" s="104">
        <f>'5-FC'!J18</f>
        <v>-58.547378739870624</v>
      </c>
      <c r="K9" s="104">
        <f>'5-FC'!K18</f>
        <v>-164.24590641000566</v>
      </c>
      <c r="L9" s="104">
        <f>'5-FC'!L18</f>
        <v>-363.31594053012282</v>
      </c>
      <c r="M9" s="104">
        <f>'5-FC'!M18</f>
        <v>-393.18246587271864</v>
      </c>
      <c r="N9" s="104">
        <f>'5-FC'!N18</f>
        <v>-425.53783314312182</v>
      </c>
      <c r="O9" s="104">
        <f>'5-FC'!O18</f>
        <v>-460.59170145095021</v>
      </c>
    </row>
    <row r="10" spans="2:15">
      <c r="B10" t="s">
        <v>161</v>
      </c>
      <c r="C10" s="104">
        <f>'9-Financiamentos'!C10</f>
        <v>890</v>
      </c>
      <c r="D10" s="104">
        <f>'9-Financiamentos'!D10</f>
        <v>987</v>
      </c>
      <c r="E10" s="104">
        <f>'9-Financiamentos'!E10</f>
        <v>1121</v>
      </c>
      <c r="F10" s="104">
        <f>'9-Financiamentos'!F10</f>
        <v>1321</v>
      </c>
      <c r="G10" s="104">
        <f>'9-Financiamentos'!G10</f>
        <v>0</v>
      </c>
      <c r="H10" s="104">
        <f>'9-Financiamentos'!H10</f>
        <v>1121</v>
      </c>
      <c r="I10" s="104">
        <f>'9-Financiamentos'!I10</f>
        <v>1198</v>
      </c>
      <c r="J10" s="104">
        <f>'9-Financiamentos'!J10</f>
        <v>765</v>
      </c>
      <c r="K10" s="104">
        <f>'9-Financiamentos'!K10</f>
        <v>850</v>
      </c>
      <c r="L10" s="104">
        <f>'9-Financiamentos'!L10</f>
        <v>0</v>
      </c>
      <c r="M10" s="104">
        <f>'9-Financiamentos'!M10</f>
        <v>0</v>
      </c>
      <c r="N10" s="104">
        <f>'9-Financiamentos'!N10</f>
        <v>0</v>
      </c>
      <c r="O10" s="104">
        <f>'9-Financiamentos'!O10</f>
        <v>0</v>
      </c>
    </row>
    <row r="11" spans="2:15">
      <c r="B11" t="s">
        <v>159</v>
      </c>
      <c r="C11" s="106">
        <f>'9-Financiamentos'!C32</f>
        <v>-804</v>
      </c>
      <c r="D11" s="106">
        <f>'9-Financiamentos'!D32</f>
        <v>-696</v>
      </c>
      <c r="E11" s="106">
        <f>'9-Financiamentos'!E32</f>
        <v>-505</v>
      </c>
      <c r="F11" s="106">
        <f>'9-Financiamentos'!F32</f>
        <v>-449</v>
      </c>
      <c r="G11" s="106">
        <f>'9-Financiamentos'!G32</f>
        <v>-1935.4</v>
      </c>
      <c r="H11" s="106">
        <f>'9-Financiamentos'!H32</f>
        <v>-781.6</v>
      </c>
      <c r="I11" s="106">
        <f>'9-Financiamentos'!I32</f>
        <v>-863.8</v>
      </c>
      <c r="J11" s="106">
        <f>'9-Financiamentos'!J32</f>
        <v>-863.8</v>
      </c>
      <c r="K11" s="106">
        <f>'9-Financiamentos'!K32</f>
        <v>-910</v>
      </c>
      <c r="L11" s="106">
        <f>'9-Financiamentos'!L32</f>
        <v>-952.2</v>
      </c>
      <c r="M11" s="106">
        <f>'9-Financiamentos'!M32</f>
        <v>-881</v>
      </c>
      <c r="N11" s="106">
        <f>'9-Financiamentos'!N32</f>
        <v>-786.80000000000007</v>
      </c>
      <c r="O11" s="106">
        <f>'9-Financiamentos'!O32</f>
        <v>-786.80000000000007</v>
      </c>
    </row>
    <row r="12" spans="2:15" ht="13.8">
      <c r="B12" s="107" t="s">
        <v>164</v>
      </c>
      <c r="C12" s="105">
        <f>SUM(C6:C11)</f>
        <v>549.88662461670901</v>
      </c>
      <c r="D12" s="105">
        <f t="shared" ref="D12:O12" si="0">SUM(D6:D11)</f>
        <v>1665.1954720761828</v>
      </c>
      <c r="E12" s="105">
        <f t="shared" si="0"/>
        <v>3014.0492603291636</v>
      </c>
      <c r="F12" s="105">
        <f t="shared" si="0"/>
        <v>3911.9830494880289</v>
      </c>
      <c r="G12" s="105">
        <f t="shared" si="0"/>
        <v>-388.18602321554545</v>
      </c>
      <c r="H12" s="105">
        <f t="shared" si="0"/>
        <v>2709.4629430611703</v>
      </c>
      <c r="I12" s="105">
        <f t="shared" si="0"/>
        <v>4739.2088792205896</v>
      </c>
      <c r="J12" s="105">
        <f t="shared" si="0"/>
        <v>6263.445228584209</v>
      </c>
      <c r="K12" s="105">
        <f t="shared" si="0"/>
        <v>8327.526600603207</v>
      </c>
      <c r="L12" s="105">
        <f t="shared" si="0"/>
        <v>9742.8125758758433</v>
      </c>
      <c r="M12" s="105">
        <f t="shared" si="0"/>
        <v>12710.50850766141</v>
      </c>
      <c r="N12" s="105">
        <f t="shared" si="0"/>
        <v>16220.341364086071</v>
      </c>
      <c r="O12" s="105">
        <f t="shared" si="0"/>
        <v>20241.190764400824</v>
      </c>
    </row>
    <row r="13" spans="2:15" ht="13.8">
      <c r="B13" s="107" t="s">
        <v>165</v>
      </c>
      <c r="C13" s="105"/>
      <c r="D13" s="105"/>
      <c r="E13" s="105"/>
      <c r="F13" s="105"/>
      <c r="G13" s="105"/>
      <c r="H13" s="105"/>
      <c r="I13" s="105"/>
      <c r="J13" s="105"/>
      <c r="K13" s="105"/>
      <c r="L13" s="105"/>
      <c r="M13" s="105"/>
      <c r="N13" s="105"/>
      <c r="O13" s="105"/>
    </row>
    <row r="14" spans="2:15" ht="13.8">
      <c r="B14" s="107" t="s">
        <v>166</v>
      </c>
      <c r="C14" s="105"/>
      <c r="D14" s="105"/>
      <c r="E14" s="105"/>
      <c r="F14" s="105"/>
      <c r="G14" s="105"/>
      <c r="H14" s="105"/>
      <c r="I14" s="105"/>
      <c r="J14" s="105"/>
      <c r="K14" s="105"/>
      <c r="L14" s="105"/>
      <c r="M14" s="105"/>
      <c r="N14" s="105"/>
      <c r="O14" s="105"/>
    </row>
    <row r="15" spans="2:15" ht="13.8">
      <c r="C15" s="105"/>
      <c r="D15" s="105"/>
      <c r="E15" s="105"/>
      <c r="F15" s="105"/>
      <c r="G15" s="105"/>
      <c r="H15" s="105"/>
      <c r="I15" s="105"/>
      <c r="J15" s="105"/>
      <c r="K15" s="105"/>
      <c r="L15" s="105"/>
      <c r="M15" s="105"/>
      <c r="N15" s="105"/>
      <c r="O15" s="105"/>
    </row>
    <row r="16" spans="2:15" ht="15.6">
      <c r="B16" s="107" t="s">
        <v>186</v>
      </c>
      <c r="C16" s="133">
        <f>'7-Cálculos'!D17</f>
        <v>0.20765195122647828</v>
      </c>
      <c r="D16" s="133">
        <f>'7-Cálculos'!E17</f>
        <v>0.17100000000000001</v>
      </c>
      <c r="E16" s="133">
        <f>'7-Cálculos'!F17</f>
        <v>0.17</v>
      </c>
      <c r="F16" s="133">
        <f>'7-Cálculos'!G17</f>
        <v>0.16</v>
      </c>
      <c r="G16" s="133">
        <f>'7-Cálculos'!H17</f>
        <v>0.15</v>
      </c>
      <c r="H16" s="133">
        <f>'7-Cálculos'!I17</f>
        <v>0.13800000000000001</v>
      </c>
      <c r="I16" s="133">
        <f>'7-Cálculos'!J17</f>
        <v>0.13500000000000001</v>
      </c>
      <c r="J16" s="133">
        <f>'7-Cálculos'!K17</f>
        <v>0.13500000000000001</v>
      </c>
      <c r="K16" s="133">
        <f>'7-Cálculos'!L17</f>
        <v>0.13500000000000001</v>
      </c>
      <c r="L16" s="133">
        <f>'7-Cálculos'!M17</f>
        <v>0.13500000000000001</v>
      </c>
      <c r="M16" s="133">
        <f>'7-Cálculos'!N17</f>
        <v>0.13500000000000001</v>
      </c>
      <c r="N16" s="133">
        <f>'7-Cálculos'!O17</f>
        <v>0.13500000000000001</v>
      </c>
      <c r="O16" s="133">
        <f>'7-Cálculos'!P17</f>
        <v>0.13500000000000001</v>
      </c>
    </row>
    <row r="17" spans="2:15" ht="15.6">
      <c r="B17" s="107" t="s">
        <v>205</v>
      </c>
      <c r="C17" s="134">
        <f>(1+C16)</f>
        <v>1.2076519512264783</v>
      </c>
      <c r="D17" s="134">
        <f>C17*(1+D16)</f>
        <v>1.414160434886206</v>
      </c>
      <c r="E17" s="134">
        <f t="shared" ref="E17:O17" si="1">D17*(1+E16)</f>
        <v>1.6545677088168609</v>
      </c>
      <c r="F17" s="134">
        <f t="shared" si="1"/>
        <v>1.9192985422275586</v>
      </c>
      <c r="G17" s="134">
        <f t="shared" si="1"/>
        <v>2.2071933235616923</v>
      </c>
      <c r="H17" s="134">
        <f t="shared" si="1"/>
        <v>2.5117860022132055</v>
      </c>
      <c r="I17" s="134">
        <f t="shared" si="1"/>
        <v>2.8508771125119883</v>
      </c>
      <c r="J17" s="134">
        <f t="shared" si="1"/>
        <v>3.2357455227011069</v>
      </c>
      <c r="K17" s="134">
        <f t="shared" si="1"/>
        <v>3.6725711682657565</v>
      </c>
      <c r="L17" s="134">
        <f t="shared" si="1"/>
        <v>4.1683682759816341</v>
      </c>
      <c r="M17" s="134">
        <f t="shared" si="1"/>
        <v>4.731097993239155</v>
      </c>
      <c r="N17" s="134">
        <f t="shared" si="1"/>
        <v>5.3697962223264408</v>
      </c>
      <c r="O17" s="134">
        <f t="shared" si="1"/>
        <v>6.0947187123405104</v>
      </c>
    </row>
    <row r="18" spans="2:15" ht="13.8">
      <c r="B18" s="107" t="s">
        <v>208</v>
      </c>
      <c r="C18" s="105">
        <f>C12/C17</f>
        <v>455.33535060184357</v>
      </c>
      <c r="D18" s="105">
        <f>D12/D17</f>
        <v>1177.5152457932943</v>
      </c>
      <c r="E18" s="105">
        <f t="shared" ref="E18:N18" si="2">E12/E17</f>
        <v>1821.6536224343658</v>
      </c>
      <c r="F18" s="105">
        <f t="shared" si="2"/>
        <v>2038.235825963656</v>
      </c>
      <c r="G18" s="105">
        <f t="shared" si="2"/>
        <v>-175.87314127479303</v>
      </c>
      <c r="H18" s="105">
        <f t="shared" si="2"/>
        <v>1078.6997541485564</v>
      </c>
      <c r="I18" s="105">
        <f t="shared" si="2"/>
        <v>1662.3686999418712</v>
      </c>
      <c r="J18" s="105">
        <f t="shared" si="2"/>
        <v>1935.7039002732408</v>
      </c>
      <c r="K18" s="105">
        <f t="shared" si="2"/>
        <v>2267.4922333868867</v>
      </c>
      <c r="L18" s="105">
        <f t="shared" si="2"/>
        <v>2337.3204886944518</v>
      </c>
      <c r="M18" s="105">
        <f t="shared" si="2"/>
        <v>2686.5874530235924</v>
      </c>
      <c r="N18" s="105">
        <f t="shared" si="2"/>
        <v>3020.6623664126082</v>
      </c>
      <c r="O18" s="105">
        <f>O21/N17</f>
        <v>35899.545791651617</v>
      </c>
    </row>
    <row r="19" spans="2:15" ht="13.8">
      <c r="B19" s="107" t="s">
        <v>206</v>
      </c>
      <c r="C19" s="105">
        <f>SUM(C18:$O$18)</f>
        <v>56205.247591051193</v>
      </c>
      <c r="D19" s="105"/>
      <c r="E19" s="105"/>
      <c r="F19" s="105"/>
      <c r="G19" s="105"/>
      <c r="H19" s="105"/>
      <c r="I19" s="105"/>
      <c r="J19" s="105"/>
      <c r="K19" s="105"/>
      <c r="L19" s="105"/>
      <c r="M19" s="105"/>
      <c r="N19" s="105"/>
      <c r="O19" s="105"/>
    </row>
    <row r="20" spans="2:15" ht="13.8">
      <c r="B20" s="107"/>
      <c r="C20" s="105"/>
      <c r="D20" s="105"/>
      <c r="E20" s="105"/>
      <c r="F20" s="105"/>
      <c r="G20" s="105"/>
      <c r="H20" s="105"/>
      <c r="I20" s="105"/>
      <c r="J20" s="105"/>
      <c r="K20" s="105"/>
      <c r="L20" s="105"/>
      <c r="M20" s="105"/>
      <c r="N20" s="105"/>
      <c r="O20" s="105"/>
    </row>
    <row r="21" spans="2:15" ht="16.2">
      <c r="B21" s="107"/>
      <c r="C21" s="212"/>
      <c r="D21" s="205"/>
      <c r="E21" s="205"/>
      <c r="F21" s="205"/>
      <c r="G21" s="205"/>
      <c r="H21" s="205"/>
      <c r="I21" s="205"/>
      <c r="J21" s="205"/>
      <c r="K21" s="205"/>
      <c r="L21" s="205"/>
      <c r="M21" s="205"/>
      <c r="N21" s="105"/>
      <c r="O21" s="105">
        <f>O12/(O16-'2-Premissas'!$C$82)</f>
        <v>192773.24537524593</v>
      </c>
    </row>
    <row r="22" spans="2:15" ht="13.8">
      <c r="B22" s="208"/>
      <c r="C22" s="205"/>
      <c r="D22" s="205"/>
      <c r="E22" s="205"/>
      <c r="F22" s="205"/>
      <c r="G22" s="205"/>
      <c r="H22" s="205"/>
      <c r="I22" s="205"/>
      <c r="J22" s="205"/>
      <c r="K22" s="205"/>
      <c r="L22" s="205"/>
      <c r="M22" s="205"/>
      <c r="N22" s="105"/>
      <c r="O22" s="105">
        <f>O21/N17</f>
        <v>35899.545791651617</v>
      </c>
    </row>
    <row r="23" spans="2:15" ht="13.8">
      <c r="C23" s="205"/>
      <c r="D23" s="105"/>
      <c r="E23" s="105"/>
      <c r="F23" s="105"/>
      <c r="G23" s="105"/>
      <c r="H23" s="105"/>
      <c r="I23" s="105"/>
      <c r="J23" s="105"/>
      <c r="K23" s="105"/>
      <c r="L23" s="105"/>
      <c r="M23" s="105"/>
      <c r="N23" s="105"/>
      <c r="O23" s="105"/>
    </row>
    <row r="24" spans="2:15" ht="13.8">
      <c r="B24" s="107" t="s">
        <v>256</v>
      </c>
      <c r="C24" s="134">
        <f>'7-Cálculos'!C15</f>
        <v>0.82058582870861851</v>
      </c>
      <c r="D24" s="134"/>
      <c r="E24" s="134"/>
      <c r="F24" s="134"/>
      <c r="G24" s="134"/>
      <c r="H24" s="134"/>
      <c r="I24" s="134"/>
      <c r="J24" s="134"/>
      <c r="K24" s="134"/>
      <c r="L24" s="134"/>
      <c r="M24" s="134"/>
      <c r="N24" s="134"/>
      <c r="O24" s="134"/>
    </row>
    <row r="25" spans="2:15" ht="13.8">
      <c r="B25" s="107" t="s">
        <v>257</v>
      </c>
      <c r="C25" s="134">
        <f>'7-Cálculos'!D16</f>
        <v>0.8881881536418238</v>
      </c>
      <c r="D25" s="134">
        <f>'7-Cálculos'!E16</f>
        <v>0.88978137407081315</v>
      </c>
      <c r="E25" s="134">
        <f>'7-Cálculos'!F16</f>
        <v>0.8952940606377926</v>
      </c>
      <c r="F25" s="134">
        <f>'7-Cálculos'!G16</f>
        <v>0.90306073122461994</v>
      </c>
      <c r="G25" s="134">
        <f>'7-Cálculos'!H16</f>
        <v>0.87342783781040134</v>
      </c>
      <c r="H25" s="134">
        <f>'7-Cálculos'!I16</f>
        <v>0.87538537169889008</v>
      </c>
      <c r="I25" s="134">
        <f>'7-Cálculos'!J16</f>
        <v>0.87602401524352169</v>
      </c>
      <c r="J25" s="134">
        <f>'7-Cálculos'!K16</f>
        <v>0.87094878016448218</v>
      </c>
      <c r="K25" s="134">
        <f>'7-Cálculos'!L16</f>
        <v>0.86640730526476561</v>
      </c>
      <c r="L25" s="134">
        <f>'7-Cálculos'!M16</f>
        <v>0.85352507743292094</v>
      </c>
      <c r="M25" s="134">
        <f>'7-Cálculos'!N16</f>
        <v>0.8429450824605661</v>
      </c>
      <c r="N25" s="134">
        <f>'7-Cálculos'!O16</f>
        <v>0.83466741949627021</v>
      </c>
      <c r="O25" s="134">
        <f>'7-Cálculos'!P16</f>
        <v>0.83148743486362597</v>
      </c>
    </row>
    <row r="26" spans="2:15" ht="13.8">
      <c r="B26" s="107"/>
      <c r="C26" s="105"/>
      <c r="D26" s="105"/>
      <c r="E26" s="105"/>
      <c r="F26" s="105"/>
      <c r="G26" s="105"/>
      <c r="H26" s="105"/>
      <c r="I26" s="105"/>
      <c r="J26" s="105"/>
      <c r="K26" s="105"/>
      <c r="L26" s="105"/>
      <c r="M26" s="105"/>
      <c r="N26" s="105"/>
      <c r="O26" s="105"/>
    </row>
  </sheetData>
  <phoneticPr fontId="0" type="noConversion"/>
  <hyperlinks>
    <hyperlink ref="B1" location="Índice!A1" display="Voltar" xr:uid="{00000000-0004-0000-0D00-000000000000}"/>
  </hyperlinks>
  <pageMargins left="0.19685039370078741" right="0.19685039370078741" top="0.98425196850393704" bottom="0.98425196850393704" header="0.51181102362204722" footer="0.51181102362204722"/>
  <pageSetup paperSize="9" scale="8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E20"/>
  <sheetViews>
    <sheetView showGridLines="0" workbookViewId="0">
      <selection activeCell="B1" sqref="B1"/>
    </sheetView>
  </sheetViews>
  <sheetFormatPr defaultRowHeight="13.2"/>
  <cols>
    <col min="2" max="2" width="20.5546875" customWidth="1"/>
    <col min="3" max="3" width="17" customWidth="1"/>
    <col min="4" max="4" width="14.6640625" customWidth="1"/>
    <col min="5" max="5" width="9.6640625" customWidth="1"/>
  </cols>
  <sheetData>
    <row r="1" spans="2:5">
      <c r="B1" s="393" t="s">
        <v>353</v>
      </c>
    </row>
    <row r="2" spans="2:5">
      <c r="B2" t="s">
        <v>270</v>
      </c>
    </row>
    <row r="3" spans="2:5">
      <c r="B3" t="s">
        <v>286</v>
      </c>
    </row>
    <row r="4" spans="2:5">
      <c r="B4" t="s">
        <v>285</v>
      </c>
    </row>
    <row r="5" spans="2:5" ht="13.8" thickBot="1"/>
    <row r="6" spans="2:5" ht="13.8" thickTop="1">
      <c r="B6" s="234" t="s">
        <v>271</v>
      </c>
      <c r="C6" s="235" t="s">
        <v>272</v>
      </c>
      <c r="D6" s="235" t="s">
        <v>273</v>
      </c>
      <c r="E6" s="236" t="s">
        <v>274</v>
      </c>
    </row>
    <row r="7" spans="2:5">
      <c r="B7" s="227" t="s">
        <v>282</v>
      </c>
      <c r="C7" s="228">
        <v>23.73</v>
      </c>
      <c r="D7" s="228">
        <v>27.54</v>
      </c>
      <c r="E7" s="229">
        <v>123.29</v>
      </c>
    </row>
    <row r="8" spans="2:5">
      <c r="B8" s="216" t="s">
        <v>275</v>
      </c>
      <c r="C8" s="217">
        <v>27650</v>
      </c>
      <c r="D8" s="217">
        <v>85750</v>
      </c>
      <c r="E8" s="218">
        <v>32830</v>
      </c>
    </row>
    <row r="9" spans="2:5">
      <c r="B9" s="227" t="s">
        <v>276</v>
      </c>
      <c r="C9" s="230">
        <v>0.188</v>
      </c>
      <c r="D9" s="230">
        <v>0.42849999999999999</v>
      </c>
      <c r="E9" s="231">
        <v>0.23039999999999999</v>
      </c>
    </row>
    <row r="10" spans="2:5">
      <c r="B10" s="216" t="s">
        <v>277</v>
      </c>
      <c r="C10" s="217">
        <v>8479</v>
      </c>
      <c r="D10" s="217">
        <v>27160</v>
      </c>
      <c r="E10" s="218">
        <v>11340</v>
      </c>
    </row>
    <row r="11" spans="2:5">
      <c r="B11" s="227" t="s">
        <v>278</v>
      </c>
      <c r="C11" s="230">
        <v>0.49399999999999999</v>
      </c>
      <c r="D11" s="230">
        <v>0.3614</v>
      </c>
      <c r="E11" s="231">
        <v>0.2712</v>
      </c>
    </row>
    <row r="12" spans="2:5">
      <c r="B12" s="216" t="s">
        <v>250</v>
      </c>
      <c r="C12" s="217">
        <v>3522</v>
      </c>
      <c r="D12" s="217">
        <v>8610</v>
      </c>
      <c r="E12" s="218">
        <v>2820</v>
      </c>
    </row>
    <row r="13" spans="2:5">
      <c r="B13" s="227" t="s">
        <v>279</v>
      </c>
      <c r="C13" s="230">
        <v>0.372</v>
      </c>
      <c r="D13" s="230">
        <v>0.25169999999999998</v>
      </c>
      <c r="E13" s="231">
        <v>0.14249999999999999</v>
      </c>
    </row>
    <row r="14" spans="2:5">
      <c r="B14" s="216" t="s">
        <v>280</v>
      </c>
      <c r="C14" s="220">
        <v>2.2073</v>
      </c>
      <c r="D14" s="220">
        <v>1.34</v>
      </c>
      <c r="E14" s="221">
        <v>8.1560000000000006</v>
      </c>
    </row>
    <row r="15" spans="2:5">
      <c r="B15" s="227" t="s">
        <v>281</v>
      </c>
      <c r="C15" s="232">
        <f>+C7/C14</f>
        <v>10.750690889321795</v>
      </c>
      <c r="D15" s="232">
        <f>+D7/D14</f>
        <v>20.552238805970148</v>
      </c>
      <c r="E15" s="233">
        <f>+E7/E14</f>
        <v>15.116478666012751</v>
      </c>
    </row>
    <row r="16" spans="2:5">
      <c r="B16" s="216" t="s">
        <v>287</v>
      </c>
      <c r="C16" s="222">
        <v>1.421</v>
      </c>
      <c r="D16" s="222">
        <v>0.56000000000000005</v>
      </c>
      <c r="E16" s="223">
        <v>0.77</v>
      </c>
    </row>
    <row r="17" spans="2:5">
      <c r="B17" s="227" t="s">
        <v>284</v>
      </c>
      <c r="C17" s="232">
        <f>+C7/C10*1000</f>
        <v>2.7986790895152729</v>
      </c>
      <c r="D17" s="232">
        <v>3.17</v>
      </c>
      <c r="E17" s="233">
        <v>2.91</v>
      </c>
    </row>
    <row r="18" spans="2:5" ht="13.8" thickBot="1">
      <c r="B18" s="224" t="s">
        <v>283</v>
      </c>
      <c r="C18" s="225">
        <f>+C7/C12*1000</f>
        <v>6.7376490630323689</v>
      </c>
      <c r="D18" s="225">
        <f>+D7/D12*1000</f>
        <v>3.1986062717770034</v>
      </c>
      <c r="E18" s="226">
        <f>+E7/E12*1000</f>
        <v>43.719858156028373</v>
      </c>
    </row>
    <row r="19" spans="2:5" ht="13.8" thickTop="1">
      <c r="C19" s="215"/>
      <c r="D19" s="215"/>
      <c r="E19" s="215"/>
    </row>
    <row r="20" spans="2:5">
      <c r="C20" s="215"/>
      <c r="D20" s="215"/>
      <c r="E20" s="215"/>
    </row>
  </sheetData>
  <phoneticPr fontId="0" type="noConversion"/>
  <hyperlinks>
    <hyperlink ref="B1" location="Índice!A1" display="Voltar" xr:uid="{00000000-0004-0000-0E00-000000000000}"/>
  </hyperlinks>
  <pageMargins left="0.78740157480314965" right="0.78740157480314965" top="0.98425196850393704" bottom="0.98425196850393704" header="0.51181102362204722" footer="0.51181102362204722"/>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B1:S22"/>
  <sheetViews>
    <sheetView showGridLines="0" zoomScale="70" workbookViewId="0">
      <selection activeCell="B1" sqref="B1"/>
    </sheetView>
  </sheetViews>
  <sheetFormatPr defaultColWidth="8.88671875" defaultRowHeight="13.2"/>
  <cols>
    <col min="1" max="1" width="1.88671875" style="86" customWidth="1"/>
    <col min="2" max="2" width="34.109375" style="86" bestFit="1" customWidth="1"/>
    <col min="3" max="5" width="11.44140625" style="86" hidden="1" customWidth="1"/>
    <col min="6" max="6" width="11.44140625" style="86" customWidth="1"/>
    <col min="7" max="7" width="10.109375" style="86" bestFit="1" customWidth="1"/>
    <col min="8" max="8" width="10.109375" style="86" customWidth="1"/>
    <col min="9" max="9" width="7.33203125" style="86" bestFit="1" customWidth="1"/>
    <col min="10" max="16384" width="8.88671875" style="86"/>
  </cols>
  <sheetData>
    <row r="1" spans="2:19">
      <c r="B1" s="393" t="s">
        <v>353</v>
      </c>
    </row>
    <row r="4" spans="2:19" ht="13.8" thickBot="1"/>
    <row r="5" spans="2:19" ht="16.8" thickTop="1" thickBot="1">
      <c r="C5" s="75">
        <v>2001</v>
      </c>
      <c r="D5" s="75">
        <v>2002</v>
      </c>
      <c r="E5" s="75">
        <v>2003</v>
      </c>
      <c r="F5" s="389">
        <f>+'3-Balanço'!D5</f>
        <v>42004</v>
      </c>
      <c r="G5" s="389">
        <f>+'3-Balanço'!E5</f>
        <v>42369</v>
      </c>
      <c r="H5" s="389">
        <f>+'3-Balanço'!F5</f>
        <v>42735</v>
      </c>
      <c r="I5" s="389">
        <f>+'3-Balanço'!G5</f>
        <v>43100</v>
      </c>
      <c r="J5" s="389">
        <f>+'3-Balanço'!H5</f>
        <v>43465</v>
      </c>
      <c r="K5" s="389">
        <f>+'3-Balanço'!I5</f>
        <v>43830</v>
      </c>
      <c r="L5" s="389">
        <f>+'3-Balanço'!J5</f>
        <v>44196</v>
      </c>
      <c r="M5" s="389">
        <f>+'3-Balanço'!K5</f>
        <v>44561</v>
      </c>
      <c r="N5" s="389">
        <f>+'3-Balanço'!L5</f>
        <v>44926</v>
      </c>
      <c r="O5" s="389">
        <f>+'3-Balanço'!M5</f>
        <v>45291</v>
      </c>
      <c r="P5" s="389">
        <f>+'3-Balanço'!N5</f>
        <v>45657</v>
      </c>
      <c r="Q5" s="389">
        <f>+'3-Balanço'!O5</f>
        <v>46022</v>
      </c>
      <c r="R5" s="389">
        <f>+'3-Balanço'!P5</f>
        <v>46387</v>
      </c>
      <c r="S5" s="389">
        <f>+'3-Balanço'!Q5</f>
        <v>46752</v>
      </c>
    </row>
    <row r="6" spans="2:19">
      <c r="B6" s="87" t="s">
        <v>137</v>
      </c>
      <c r="C6" s="87"/>
      <c r="D6" s="87"/>
      <c r="E6" s="87"/>
      <c r="F6" s="87"/>
    </row>
    <row r="8" spans="2:19">
      <c r="B8" s="88" t="s">
        <v>138</v>
      </c>
      <c r="C8" s="88"/>
      <c r="D8" s="88"/>
      <c r="E8" s="88"/>
      <c r="F8" s="88"/>
    </row>
    <row r="9" spans="2:19">
      <c r="B9" s="89" t="s">
        <v>139</v>
      </c>
      <c r="C9" s="90"/>
      <c r="D9" s="90">
        <v>46.451612903225808</v>
      </c>
      <c r="E9" s="90">
        <v>58.120204603580561</v>
      </c>
      <c r="F9" s="90">
        <f>'3-Balanço'!D11/F19*360</f>
        <v>74.893408478314129</v>
      </c>
      <c r="G9" s="90">
        <f>'2-Premissas'!C49</f>
        <v>59.821741995040163</v>
      </c>
      <c r="H9" s="90">
        <f>'2-Premissas'!D49</f>
        <v>59.821741995040163</v>
      </c>
      <c r="I9" s="90">
        <f>'2-Premissas'!E49</f>
        <v>59.821741995040163</v>
      </c>
      <c r="J9" s="90">
        <f>'2-Premissas'!F49</f>
        <v>59.821741995040163</v>
      </c>
      <c r="K9" s="90">
        <f>'2-Premissas'!G49</f>
        <v>59.821741995040163</v>
      </c>
      <c r="L9" s="90">
        <f>'2-Premissas'!H49</f>
        <v>59.821741995040163</v>
      </c>
      <c r="M9" s="90">
        <f>'2-Premissas'!I49</f>
        <v>59.821741995040163</v>
      </c>
      <c r="N9" s="90">
        <f>'2-Premissas'!J49</f>
        <v>59.821741995040163</v>
      </c>
      <c r="O9" s="90">
        <f>'2-Premissas'!K49</f>
        <v>59.821741995040163</v>
      </c>
      <c r="P9" s="90">
        <f>'2-Premissas'!L49</f>
        <v>59.821741995040163</v>
      </c>
      <c r="Q9" s="90">
        <f>'2-Premissas'!M49</f>
        <v>59.821741995040163</v>
      </c>
      <c r="R9" s="90">
        <f>'2-Premissas'!N49</f>
        <v>59.821741995040163</v>
      </c>
      <c r="S9" s="90">
        <f>'2-Premissas'!O49</f>
        <v>59.821741995040163</v>
      </c>
    </row>
    <row r="10" spans="2:19">
      <c r="B10" s="89" t="s">
        <v>140</v>
      </c>
      <c r="C10" s="91"/>
      <c r="D10" s="91">
        <v>55.488089677720694</v>
      </c>
      <c r="E10" s="91">
        <v>53.107303877366995</v>
      </c>
      <c r="F10" s="91">
        <f>'3-Balanço'!D9/'4-DRE'!B19*360</f>
        <v>43.689114282344619</v>
      </c>
      <c r="G10" s="91">
        <f>'2-Premissas'!C50</f>
        <v>50.761502612477443</v>
      </c>
      <c r="H10" s="91">
        <f>'2-Premissas'!D50</f>
        <v>50.761502612477443</v>
      </c>
      <c r="I10" s="91">
        <f>'2-Premissas'!E50</f>
        <v>50.761502612477443</v>
      </c>
      <c r="J10" s="91">
        <f>'2-Premissas'!F50</f>
        <v>50.761502612477443</v>
      </c>
      <c r="K10" s="91">
        <f>'2-Premissas'!G50</f>
        <v>50.761502612477443</v>
      </c>
      <c r="L10" s="91">
        <f>'2-Premissas'!H50</f>
        <v>50.761502612477443</v>
      </c>
      <c r="M10" s="91">
        <f>'2-Premissas'!I50</f>
        <v>50.761502612477443</v>
      </c>
      <c r="N10" s="91">
        <f>'2-Premissas'!J50</f>
        <v>50.761502612477443</v>
      </c>
      <c r="O10" s="91">
        <f>'2-Premissas'!K50</f>
        <v>50.761502612477443</v>
      </c>
      <c r="P10" s="91">
        <f>'2-Premissas'!L50</f>
        <v>50.761502612477443</v>
      </c>
      <c r="Q10" s="91">
        <f>'2-Premissas'!M50</f>
        <v>50.761502612477443</v>
      </c>
      <c r="R10" s="91">
        <f>'2-Premissas'!N50</f>
        <v>50.761502612477443</v>
      </c>
      <c r="S10" s="91">
        <f>'2-Premissas'!O50</f>
        <v>50.761502612477443</v>
      </c>
    </row>
    <row r="11" spans="2:19">
      <c r="B11" s="89" t="s">
        <v>141</v>
      </c>
      <c r="C11" s="90"/>
      <c r="D11" s="90">
        <f t="shared" ref="D11:S11" si="0">SUM(D9:D10)</f>
        <v>101.9397025809465</v>
      </c>
      <c r="E11" s="90">
        <f t="shared" si="0"/>
        <v>111.22750848094756</v>
      </c>
      <c r="F11" s="90">
        <f t="shared" si="0"/>
        <v>118.58252276065875</v>
      </c>
      <c r="G11" s="90">
        <f t="shared" si="0"/>
        <v>110.5832446075176</v>
      </c>
      <c r="H11" s="90">
        <f t="shared" si="0"/>
        <v>110.5832446075176</v>
      </c>
      <c r="I11" s="90">
        <f t="shared" si="0"/>
        <v>110.5832446075176</v>
      </c>
      <c r="J11" s="90">
        <f t="shared" si="0"/>
        <v>110.5832446075176</v>
      </c>
      <c r="K11" s="90">
        <f t="shared" si="0"/>
        <v>110.5832446075176</v>
      </c>
      <c r="L11" s="90">
        <f t="shared" si="0"/>
        <v>110.5832446075176</v>
      </c>
      <c r="M11" s="90">
        <f t="shared" si="0"/>
        <v>110.5832446075176</v>
      </c>
      <c r="N11" s="90">
        <f t="shared" si="0"/>
        <v>110.5832446075176</v>
      </c>
      <c r="O11" s="90">
        <f t="shared" si="0"/>
        <v>110.5832446075176</v>
      </c>
      <c r="P11" s="90">
        <f t="shared" si="0"/>
        <v>110.5832446075176</v>
      </c>
      <c r="Q11" s="90">
        <f t="shared" si="0"/>
        <v>110.5832446075176</v>
      </c>
      <c r="R11" s="90">
        <f t="shared" si="0"/>
        <v>110.5832446075176</v>
      </c>
      <c r="S11" s="90">
        <f t="shared" si="0"/>
        <v>110.5832446075176</v>
      </c>
    </row>
    <row r="12" spans="2:19">
      <c r="B12" s="89" t="s">
        <v>142</v>
      </c>
      <c r="C12" s="91"/>
      <c r="D12" s="91">
        <v>58.870967741935488</v>
      </c>
      <c r="E12" s="91">
        <v>51.936545944328039</v>
      </c>
      <c r="F12" s="91">
        <f>'3-Balanço'!D43/F22*360</f>
        <v>56.054237288135596</v>
      </c>
      <c r="G12" s="91">
        <f>'2-Premissas'!C51</f>
        <v>55.620583658133036</v>
      </c>
      <c r="H12" s="91">
        <f>'2-Premissas'!D51</f>
        <v>55.620583658133036</v>
      </c>
      <c r="I12" s="91">
        <f>'2-Premissas'!E51</f>
        <v>55.620583658133036</v>
      </c>
      <c r="J12" s="91">
        <f>'2-Premissas'!F51</f>
        <v>55.620583658133036</v>
      </c>
      <c r="K12" s="91">
        <f>'2-Premissas'!G51</f>
        <v>55.620583658133036</v>
      </c>
      <c r="L12" s="91">
        <f>'2-Premissas'!H51</f>
        <v>55.620583658133036</v>
      </c>
      <c r="M12" s="91">
        <f>'2-Premissas'!I51</f>
        <v>55.620583658133036</v>
      </c>
      <c r="N12" s="91">
        <f>'2-Premissas'!J51</f>
        <v>55.620583658133036</v>
      </c>
      <c r="O12" s="91">
        <f>'2-Premissas'!K51</f>
        <v>55.620583658133036</v>
      </c>
      <c r="P12" s="91">
        <f>'2-Premissas'!L51</f>
        <v>55.620583658133036</v>
      </c>
      <c r="Q12" s="91">
        <f>'2-Premissas'!M51</f>
        <v>55.620583658133036</v>
      </c>
      <c r="R12" s="91">
        <f>'2-Premissas'!N51</f>
        <v>55.620583658133036</v>
      </c>
      <c r="S12" s="91">
        <f>'2-Premissas'!O51</f>
        <v>55.620583658133036</v>
      </c>
    </row>
    <row r="13" spans="2:19">
      <c r="B13" s="89" t="s">
        <v>143</v>
      </c>
      <c r="C13" s="90"/>
      <c r="D13" s="90">
        <f t="shared" ref="D13:S13" si="1">D11-D12</f>
        <v>43.068734839011015</v>
      </c>
      <c r="E13" s="90">
        <f t="shared" si="1"/>
        <v>59.290962536619524</v>
      </c>
      <c r="F13" s="90">
        <f t="shared" si="1"/>
        <v>62.528285472523152</v>
      </c>
      <c r="G13" s="90">
        <f t="shared" si="1"/>
        <v>54.962660949384563</v>
      </c>
      <c r="H13" s="90">
        <f t="shared" si="1"/>
        <v>54.962660949384563</v>
      </c>
      <c r="I13" s="90">
        <f t="shared" si="1"/>
        <v>54.962660949384563</v>
      </c>
      <c r="J13" s="90">
        <f t="shared" si="1"/>
        <v>54.962660949384563</v>
      </c>
      <c r="K13" s="90">
        <f t="shared" si="1"/>
        <v>54.962660949384563</v>
      </c>
      <c r="L13" s="90">
        <f t="shared" si="1"/>
        <v>54.962660949384563</v>
      </c>
      <c r="M13" s="90">
        <f t="shared" si="1"/>
        <v>54.962660949384563</v>
      </c>
      <c r="N13" s="90">
        <f t="shared" si="1"/>
        <v>54.962660949384563</v>
      </c>
      <c r="O13" s="90">
        <f t="shared" si="1"/>
        <v>54.962660949384563</v>
      </c>
      <c r="P13" s="90">
        <f t="shared" si="1"/>
        <v>54.962660949384563</v>
      </c>
      <c r="Q13" s="90">
        <f t="shared" si="1"/>
        <v>54.962660949384563</v>
      </c>
      <c r="R13" s="90">
        <f t="shared" si="1"/>
        <v>54.962660949384563</v>
      </c>
      <c r="S13" s="90">
        <f t="shared" si="1"/>
        <v>54.962660949384563</v>
      </c>
    </row>
    <row r="18" spans="2:19">
      <c r="B18" s="87" t="s">
        <v>3</v>
      </c>
      <c r="C18" s="90"/>
      <c r="D18" s="90"/>
      <c r="E18" s="90"/>
      <c r="F18" s="90"/>
    </row>
    <row r="19" spans="2:19">
      <c r="B19" s="89" t="s">
        <v>144</v>
      </c>
      <c r="C19" s="92"/>
      <c r="D19" s="92">
        <v>2263</v>
      </c>
      <c r="E19" s="92">
        <v>3128</v>
      </c>
      <c r="F19" s="92">
        <f>-'4-DRE'!B28</f>
        <v>4081</v>
      </c>
      <c r="G19" s="92">
        <f>-'4-DRE'!C28</f>
        <v>4688.6426000000001</v>
      </c>
      <c r="H19" s="92">
        <f>-'4-DRE'!D28</f>
        <v>5285.6929635716015</v>
      </c>
      <c r="I19" s="92">
        <f>-'4-DRE'!E28</f>
        <v>6092.955761878382</v>
      </c>
      <c r="J19" s="92">
        <f>-'4-DRE'!F28</f>
        <v>6959.290556125311</v>
      </c>
      <c r="K19" s="92">
        <f>-'4-DRE'!G28</f>
        <v>7959.6151084328712</v>
      </c>
      <c r="L19" s="92">
        <f>-'4-DRE'!H28</f>
        <v>9115.4758783064372</v>
      </c>
      <c r="M19" s="92">
        <f>-'4-DRE'!I28</f>
        <v>9681.2765894859294</v>
      </c>
      <c r="N19" s="92">
        <f>-'4-DRE'!J28</f>
        <v>10282.687006351065</v>
      </c>
      <c r="O19" s="92">
        <f>-'4-DRE'!K28</f>
        <v>11181.705324295996</v>
      </c>
      <c r="P19" s="92">
        <f>-'4-DRE'!L28</f>
        <v>12160.463513714309</v>
      </c>
      <c r="Q19" s="92">
        <f>-'4-DRE'!M28</f>
        <v>13226.100026903523</v>
      </c>
      <c r="R19" s="92">
        <f>-'4-DRE'!N28</f>
        <v>14386.396702875865</v>
      </c>
      <c r="S19" s="92">
        <f>-'4-DRE'!O28</f>
        <v>15649.837047085066</v>
      </c>
    </row>
    <row r="20" spans="2:19">
      <c r="B20" s="89" t="s">
        <v>145</v>
      </c>
      <c r="C20" s="92">
        <v>100</v>
      </c>
      <c r="D20" s="92">
        <v>292</v>
      </c>
      <c r="E20" s="92">
        <v>505</v>
      </c>
      <c r="F20" s="92">
        <f>'3-Balanço'!D11</f>
        <v>849</v>
      </c>
      <c r="G20" s="92">
        <f>'3-Balanço'!E11</f>
        <v>779.11879978931756</v>
      </c>
      <c r="H20" s="92">
        <f>'3-Balanço'!F11</f>
        <v>878.33155758827661</v>
      </c>
      <c r="I20" s="92">
        <f>'3-Balanço'!G11</f>
        <v>1012.4756321507831</v>
      </c>
      <c r="J20" s="92">
        <f>'3-Balanço'!H11</f>
        <v>1156.435789214022</v>
      </c>
      <c r="K20" s="92">
        <f>'3-Balanço'!I11</f>
        <v>1322.6612261013745</v>
      </c>
      <c r="L20" s="92">
        <f>'3-Balanço'!J11</f>
        <v>1514.7323504279439</v>
      </c>
      <c r="M20" s="92">
        <f>'3-Balanço'!K11</f>
        <v>1608.7523064412489</v>
      </c>
      <c r="N20" s="92">
        <f>'3-Balanço'!L11</f>
        <v>1708.6895808602369</v>
      </c>
      <c r="O20" s="92">
        <f>'3-Balanço'!M11</f>
        <v>1858.0808082627832</v>
      </c>
      <c r="P20" s="92">
        <f>'3-Balanço'!N11</f>
        <v>2020.7225301597691</v>
      </c>
      <c r="Q20" s="92">
        <f>'3-Balanço'!O11</f>
        <v>2197.8009539167119</v>
      </c>
      <c r="R20" s="92">
        <f>'3-Balanço'!P11</f>
        <v>2390.6091994381568</v>
      </c>
      <c r="S20" s="92">
        <f>'3-Balanço'!Q11</f>
        <v>2600.5569835976221</v>
      </c>
    </row>
    <row r="21" spans="2:19">
      <c r="B21" s="89" t="s">
        <v>146</v>
      </c>
      <c r="C21" s="93">
        <v>-100</v>
      </c>
      <c r="D21" s="93">
        <v>-323</v>
      </c>
      <c r="E21" s="93">
        <v>-292</v>
      </c>
      <c r="F21" s="93">
        <f>-E20</f>
        <v>-505</v>
      </c>
      <c r="G21" s="93">
        <f t="shared" ref="G21:S21" si="2">-F20</f>
        <v>-849</v>
      </c>
      <c r="H21" s="93">
        <f t="shared" si="2"/>
        <v>-779.11879978931756</v>
      </c>
      <c r="I21" s="93">
        <f t="shared" si="2"/>
        <v>-878.33155758827661</v>
      </c>
      <c r="J21" s="93">
        <f t="shared" si="2"/>
        <v>-1012.4756321507831</v>
      </c>
      <c r="K21" s="93">
        <f t="shared" si="2"/>
        <v>-1156.435789214022</v>
      </c>
      <c r="L21" s="93">
        <f t="shared" si="2"/>
        <v>-1322.6612261013745</v>
      </c>
      <c r="M21" s="93">
        <f t="shared" si="2"/>
        <v>-1514.7323504279439</v>
      </c>
      <c r="N21" s="93">
        <f t="shared" si="2"/>
        <v>-1608.7523064412489</v>
      </c>
      <c r="O21" s="93">
        <f t="shared" si="2"/>
        <v>-1708.6895808602369</v>
      </c>
      <c r="P21" s="93">
        <f t="shared" si="2"/>
        <v>-1858.0808082627832</v>
      </c>
      <c r="Q21" s="93">
        <f t="shared" si="2"/>
        <v>-2020.7225301597691</v>
      </c>
      <c r="R21" s="93">
        <f t="shared" si="2"/>
        <v>-2197.8009539167119</v>
      </c>
      <c r="S21" s="93">
        <f t="shared" si="2"/>
        <v>-2390.6091994381568</v>
      </c>
    </row>
    <row r="22" spans="2:19">
      <c r="B22" s="94" t="s">
        <v>147</v>
      </c>
      <c r="C22" s="95">
        <f>SUM(C19:C21)</f>
        <v>0</v>
      </c>
      <c r="D22" s="95">
        <f>SUM(D19:D21)</f>
        <v>2232</v>
      </c>
      <c r="E22" s="95">
        <f>SUM(E19:E21)</f>
        <v>3341</v>
      </c>
      <c r="F22" s="95">
        <f>SUM(F19:F21)</f>
        <v>4425</v>
      </c>
      <c r="G22" s="95">
        <f>SUM(G19:G21)</f>
        <v>4618.7613997893177</v>
      </c>
      <c r="H22" s="95">
        <f t="shared" ref="H22:S22" si="3">SUM(H19:H21)</f>
        <v>5384.9057213705601</v>
      </c>
      <c r="I22" s="95">
        <f t="shared" si="3"/>
        <v>6227.0998364408879</v>
      </c>
      <c r="J22" s="95">
        <f t="shared" si="3"/>
        <v>7103.2507131885504</v>
      </c>
      <c r="K22" s="95">
        <f t="shared" si="3"/>
        <v>8125.8405453202249</v>
      </c>
      <c r="L22" s="95">
        <f>SUM(L19:L21)</f>
        <v>9307.5470026330058</v>
      </c>
      <c r="M22" s="95">
        <f t="shared" si="3"/>
        <v>9775.2965454992336</v>
      </c>
      <c r="N22" s="95">
        <f t="shared" si="3"/>
        <v>10382.624280770053</v>
      </c>
      <c r="O22" s="95">
        <f t="shared" si="3"/>
        <v>11331.096551698542</v>
      </c>
      <c r="P22" s="95">
        <f t="shared" si="3"/>
        <v>12323.105235611294</v>
      </c>
      <c r="Q22" s="95">
        <f t="shared" si="3"/>
        <v>13403.178450660467</v>
      </c>
      <c r="R22" s="95">
        <f t="shared" si="3"/>
        <v>14579.204948397308</v>
      </c>
      <c r="S22" s="95">
        <f t="shared" si="3"/>
        <v>15859.784831244531</v>
      </c>
    </row>
  </sheetData>
  <phoneticPr fontId="1" type="noConversion"/>
  <hyperlinks>
    <hyperlink ref="B1" location="Índice!A1" display="Voltar" xr:uid="{00000000-0004-0000-0F00-000000000000}"/>
  </hyperlinks>
  <pageMargins left="0.15748031496062992" right="0.15748031496062992" top="0.98425196850393704" bottom="0.98425196850393704" header="0.51181102362204722" footer="0.51181102362204722"/>
  <pageSetup paperSize="9" scale="91" orientation="landscape"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B1:P34"/>
  <sheetViews>
    <sheetView workbookViewId="0">
      <selection activeCell="D10" sqref="D10"/>
    </sheetView>
  </sheetViews>
  <sheetFormatPr defaultRowHeight="13.2"/>
  <sheetData>
    <row r="1" spans="2:2">
      <c r="B1" s="393" t="s">
        <v>353</v>
      </c>
    </row>
    <row r="33" spans="3:16">
      <c r="C33" s="32"/>
      <c r="D33" s="32"/>
      <c r="E33" s="32"/>
      <c r="F33" s="32"/>
      <c r="G33" s="32"/>
      <c r="H33" s="32"/>
      <c r="I33" s="32"/>
      <c r="J33" s="32"/>
      <c r="K33" s="32"/>
      <c r="L33" s="32"/>
      <c r="M33" s="262">
        <v>2014</v>
      </c>
      <c r="N33" s="262">
        <v>2015</v>
      </c>
      <c r="O33" s="262">
        <v>2016</v>
      </c>
      <c r="P33" s="262">
        <v>2017</v>
      </c>
    </row>
    <row r="34" spans="3:16">
      <c r="C34" s="262">
        <f>'4-DRE'!B35/1000</f>
        <v>3.5219999999999998</v>
      </c>
      <c r="D34" s="262">
        <f>'4-DRE'!C35/1000</f>
        <v>4.2757766879321357</v>
      </c>
      <c r="E34" s="262">
        <f>'4-DRE'!D35/1000</f>
        <v>5.0575989207595775</v>
      </c>
      <c r="F34" s="262">
        <f>'4-DRE'!E35/1000</f>
        <v>5.8067600242112825</v>
      </c>
      <c r="G34" s="262">
        <f>'4-DRE'!F35/1000</f>
        <v>6.6683270875430125</v>
      </c>
      <c r="H34" s="262">
        <f>'4-DRE'!G35/1000</f>
        <v>7.8283100543147022</v>
      </c>
      <c r="I34" s="262">
        <f>'4-DRE'!H35/1000</f>
        <v>9.2742604050381168</v>
      </c>
      <c r="J34" s="262">
        <f>'4-DRE'!I35/1000</f>
        <v>11.685350792921657</v>
      </c>
      <c r="K34" s="262">
        <f>'4-DRE'!J35/1000</f>
        <v>14.493674124443508</v>
      </c>
      <c r="L34" s="262">
        <f>'4-DRE'!K35/1000</f>
        <v>17.503858780746821</v>
      </c>
      <c r="M34" s="262">
        <f>'4-DRE'!L35/1000</f>
        <v>21.010621112049773</v>
      </c>
      <c r="N34" s="262">
        <f>'4-DRE'!M35/1000</f>
        <v>25.095458359625649</v>
      </c>
      <c r="O34" s="262">
        <f>'4-DRE'!N35/1000</f>
        <v>29.852816947993187</v>
      </c>
      <c r="P34" s="262">
        <f>'4-DRE'!O35/1000</f>
        <v>35.392115605681717</v>
      </c>
    </row>
  </sheetData>
  <phoneticPr fontId="0" type="noConversion"/>
  <hyperlinks>
    <hyperlink ref="B1" location="Índice!A1" display="Voltar" xr:uid="{00000000-0004-0000-1000-000000000000}"/>
  </hyperlinks>
  <pageMargins left="0.17" right="0.2" top="0.984251969" bottom="0.984251969" header="0.49212598499999999" footer="0.49212598499999999"/>
  <pageSetup paperSize="9" scale="93"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Plan11"/>
  <dimension ref="A2:P231"/>
  <sheetViews>
    <sheetView zoomScaleNormal="100" workbookViewId="0">
      <selection activeCell="D9" sqref="D9"/>
    </sheetView>
  </sheetViews>
  <sheetFormatPr defaultRowHeight="13.2"/>
  <cols>
    <col min="1" max="1" width="5" customWidth="1"/>
    <col min="2" max="2" width="12.6640625" customWidth="1"/>
    <col min="3" max="3" width="8.33203125" bestFit="1" customWidth="1"/>
    <col min="4" max="4" width="12.33203125" bestFit="1" customWidth="1"/>
    <col min="5" max="5" width="10.109375" customWidth="1"/>
    <col min="6" max="6" width="9.6640625" bestFit="1" customWidth="1"/>
    <col min="7" max="7" width="10.44140625" customWidth="1"/>
    <col min="8" max="8" width="9.88671875" customWidth="1"/>
    <col min="9" max="9" width="11" customWidth="1"/>
    <col min="10" max="10" width="12.109375" customWidth="1"/>
    <col min="11" max="11" width="4.109375" customWidth="1"/>
  </cols>
  <sheetData>
    <row r="2" spans="1:10" ht="17.399999999999999">
      <c r="A2" s="411" t="s">
        <v>338</v>
      </c>
      <c r="B2" s="411"/>
      <c r="C2" s="411"/>
      <c r="D2" s="411"/>
      <c r="J2" s="325">
        <v>0.1527</v>
      </c>
    </row>
    <row r="5" spans="1:10" ht="13.8" thickBot="1"/>
    <row r="6" spans="1:10" ht="27" thickTop="1">
      <c r="B6" s="413" t="s">
        <v>328</v>
      </c>
      <c r="C6" s="414"/>
      <c r="D6" s="300" t="s">
        <v>330</v>
      </c>
      <c r="F6" s="307"/>
      <c r="G6" s="308" t="s">
        <v>344</v>
      </c>
      <c r="H6" s="308" t="s">
        <v>332</v>
      </c>
      <c r="I6" s="308" t="s">
        <v>333</v>
      </c>
      <c r="J6" s="309" t="s">
        <v>322</v>
      </c>
    </row>
    <row r="7" spans="1:10">
      <c r="B7" s="415" t="s">
        <v>331</v>
      </c>
      <c r="C7" s="416"/>
      <c r="D7" s="297">
        <v>5.808615384615385E-2</v>
      </c>
      <c r="F7" s="301" t="s">
        <v>342</v>
      </c>
      <c r="G7" s="302">
        <f>G8*0.65</f>
        <v>3.7756000000000005E-2</v>
      </c>
      <c r="H7" s="302">
        <f>H8</f>
        <v>5.1900000000000002E-2</v>
      </c>
      <c r="I7" s="302">
        <f>I8*0.7</f>
        <v>5.5999999999999994E-2</v>
      </c>
      <c r="J7" s="303">
        <f>D9</f>
        <v>3830</v>
      </c>
    </row>
    <row r="8" spans="1:10" ht="13.8" thickBot="1">
      <c r="B8" s="417" t="s">
        <v>340</v>
      </c>
      <c r="C8" s="418"/>
      <c r="D8" s="295">
        <v>5.1900000000000002E-2</v>
      </c>
      <c r="F8" s="304" t="s">
        <v>343</v>
      </c>
      <c r="G8" s="305">
        <f>D7</f>
        <v>5.808615384615385E-2</v>
      </c>
      <c r="H8" s="305">
        <f>D8</f>
        <v>5.1900000000000002E-2</v>
      </c>
      <c r="I8" s="305">
        <f>D10</f>
        <v>0.08</v>
      </c>
      <c r="J8" s="306"/>
    </row>
    <row r="9" spans="1:10" ht="13.8" thickTop="1">
      <c r="B9" s="415" t="s">
        <v>322</v>
      </c>
      <c r="C9" s="416"/>
      <c r="D9" s="298">
        <v>3830</v>
      </c>
      <c r="F9" s="280"/>
      <c r="H9" s="279"/>
    </row>
    <row r="10" spans="1:10">
      <c r="B10" s="417" t="s">
        <v>333</v>
      </c>
      <c r="C10" s="418"/>
      <c r="D10" s="295">
        <v>0.08</v>
      </c>
      <c r="F10" s="107"/>
    </row>
    <row r="11" spans="1:10">
      <c r="B11" s="415" t="s">
        <v>282</v>
      </c>
      <c r="C11" s="416"/>
      <c r="D11" s="299">
        <f>'10-FCLE'!C24</f>
        <v>55.075873090014838</v>
      </c>
      <c r="F11" s="278"/>
    </row>
    <row r="12" spans="1:10" ht="13.8" thickBot="1">
      <c r="B12" s="406" t="s">
        <v>334</v>
      </c>
      <c r="C12" s="407"/>
      <c r="D12" s="296">
        <f>((1+G7)*(1+H7)*(1+I7)-1)</f>
        <v>0.15274600643840008</v>
      </c>
    </row>
    <row r="13" spans="1:10" ht="13.8" thickTop="1">
      <c r="A13" s="107"/>
      <c r="B13" s="266"/>
    </row>
    <row r="15" spans="1:10" ht="13.8" thickBot="1">
      <c r="B15" s="412" t="s">
        <v>341</v>
      </c>
      <c r="C15" s="408" t="s">
        <v>331</v>
      </c>
      <c r="D15" s="409"/>
      <c r="E15" s="408" t="s">
        <v>332</v>
      </c>
      <c r="F15" s="409" t="s">
        <v>282</v>
      </c>
      <c r="G15" s="408" t="s">
        <v>322</v>
      </c>
      <c r="H15" s="409"/>
      <c r="I15" s="408" t="s">
        <v>333</v>
      </c>
      <c r="J15" s="410" t="s">
        <v>282</v>
      </c>
    </row>
    <row r="16" spans="1:10" ht="26.4">
      <c r="B16" s="412"/>
      <c r="C16" s="286" t="s">
        <v>182</v>
      </c>
      <c r="D16" s="287" t="s">
        <v>282</v>
      </c>
      <c r="E16" s="285" t="s">
        <v>182</v>
      </c>
      <c r="F16" s="282" t="s">
        <v>282</v>
      </c>
      <c r="G16" s="286" t="s">
        <v>182</v>
      </c>
      <c r="H16" s="282" t="s">
        <v>282</v>
      </c>
      <c r="I16" s="286" t="s">
        <v>182</v>
      </c>
      <c r="J16" s="282" t="s">
        <v>282</v>
      </c>
    </row>
    <row r="17" spans="2:10">
      <c r="B17" s="283"/>
      <c r="D17" s="281">
        <f>D11</f>
        <v>55.075873090014838</v>
      </c>
      <c r="E17" s="273"/>
      <c r="F17" s="281">
        <f>D11</f>
        <v>55.075873090014838</v>
      </c>
      <c r="G17" s="281"/>
      <c r="H17" s="281">
        <f>D11</f>
        <v>55.075873090014838</v>
      </c>
      <c r="I17" s="273"/>
      <c r="J17" s="281">
        <f>D11</f>
        <v>55.075873090014838</v>
      </c>
    </row>
    <row r="18" spans="2:10">
      <c r="B18" s="284">
        <v>0.3</v>
      </c>
      <c r="C18" s="124">
        <f t="shared" ref="C18:C23" si="0">$C$24*(1+B18)</f>
        <v>7.551200000000001E-2</v>
      </c>
      <c r="D18" s="267">
        <f t="dataTable" ref="D18:D30" dt2D="0" dtr="0" r1="D7" ca="1"/>
        <v>67.902643055159089</v>
      </c>
      <c r="E18" s="124">
        <f t="shared" ref="E18:E23" si="1">$E$24*(1+B18)</f>
        <v>6.7470000000000002E-2</v>
      </c>
      <c r="F18" s="267">
        <f t="dataTable" ref="F18:F30" dt2D="0" dtr="0" r1="D8"/>
        <v>72.82179469824429</v>
      </c>
      <c r="G18" s="111">
        <f t="shared" ref="G18:G23" si="2">$G$24*(1+B18)</f>
        <v>4979</v>
      </c>
      <c r="H18" s="268">
        <f t="dataTable" ref="H18:H30" dt2D="0" dtr="0" r1="D9" ca="1"/>
        <v>51.712717061536146</v>
      </c>
      <c r="I18" s="124">
        <f t="shared" ref="I18:I23" si="3">$I$24*(1+B18)</f>
        <v>0.10400000000000001</v>
      </c>
      <c r="J18" s="267">
        <f t="dataTable" ref="J18:J30" dt2D="0" dtr="0" r1="D10" ca="1"/>
        <v>74.258688783768932</v>
      </c>
    </row>
    <row r="19" spans="2:10">
      <c r="B19" s="284">
        <v>0.25</v>
      </c>
      <c r="C19" s="124">
        <f t="shared" si="0"/>
        <v>7.2607692307692318E-2</v>
      </c>
      <c r="D19" s="267">
        <v>65.665815755884253</v>
      </c>
      <c r="E19" s="124">
        <f t="shared" si="1"/>
        <v>6.4875000000000002E-2</v>
      </c>
      <c r="F19" s="267">
        <v>69.677545205228597</v>
      </c>
      <c r="G19" s="111">
        <f t="shared" si="2"/>
        <v>4787.5</v>
      </c>
      <c r="H19" s="268">
        <v>52.273305978931369</v>
      </c>
      <c r="I19" s="124">
        <f t="shared" si="3"/>
        <v>0.1</v>
      </c>
      <c r="J19" s="267">
        <v>70.844501309393536</v>
      </c>
    </row>
    <row r="20" spans="2:10">
      <c r="B20" s="284">
        <v>0.2</v>
      </c>
      <c r="C20" s="124">
        <f t="shared" si="0"/>
        <v>6.9703384615384612E-2</v>
      </c>
      <c r="D20" s="267">
        <v>63.469574521805256</v>
      </c>
      <c r="E20" s="124">
        <f t="shared" si="1"/>
        <v>6.2280000000000002E-2</v>
      </c>
      <c r="F20" s="267">
        <v>66.610416583677249</v>
      </c>
      <c r="G20" s="111">
        <f t="shared" si="2"/>
        <v>4596</v>
      </c>
      <c r="H20" s="268">
        <v>52.833869588833991</v>
      </c>
      <c r="I20" s="124">
        <f t="shared" si="3"/>
        <v>9.6000000000000002E-2</v>
      </c>
      <c r="J20" s="267">
        <v>67.52023672021167</v>
      </c>
    </row>
    <row r="21" spans="2:10">
      <c r="B21" s="284">
        <v>0.15</v>
      </c>
      <c r="C21" s="124">
        <f t="shared" si="0"/>
        <v>6.6799076923076919E-2</v>
      </c>
      <c r="D21" s="267">
        <v>61.313180303510364</v>
      </c>
      <c r="E21" s="124">
        <f t="shared" si="1"/>
        <v>5.9684999999999995E-2</v>
      </c>
      <c r="F21" s="267">
        <v>63.618515210769687</v>
      </c>
      <c r="G21" s="111">
        <f t="shared" si="2"/>
        <v>4404.5</v>
      </c>
      <c r="H21" s="268">
        <v>53.394407998622938</v>
      </c>
      <c r="I21" s="124">
        <f t="shared" si="3"/>
        <v>9.1999999999999998E-2</v>
      </c>
      <c r="J21" s="267">
        <v>64.283525708075786</v>
      </c>
    </row>
    <row r="22" spans="2:10">
      <c r="B22" s="284">
        <v>0.1</v>
      </c>
      <c r="C22" s="124">
        <f t="shared" si="0"/>
        <v>6.3894769230769241E-2</v>
      </c>
      <c r="D22" s="267">
        <v>59.195906386030771</v>
      </c>
      <c r="E22" s="124">
        <f t="shared" si="1"/>
        <v>5.7090000000000009E-2</v>
      </c>
      <c r="F22" s="267">
        <v>60.699990144375782</v>
      </c>
      <c r="G22" s="111">
        <f t="shared" si="2"/>
        <v>4213</v>
      </c>
      <c r="H22" s="268">
        <v>53.954921314935461</v>
      </c>
      <c r="I22" s="124">
        <f t="shared" si="3"/>
        <v>8.8000000000000009E-2</v>
      </c>
      <c r="J22" s="267">
        <v>61.132056293264704</v>
      </c>
    </row>
    <row r="23" spans="2:10">
      <c r="B23" s="284">
        <v>0.05</v>
      </c>
      <c r="C23" s="124">
        <f t="shared" si="0"/>
        <v>6.0990461538461542E-2</v>
      </c>
      <c r="D23" s="267">
        <v>57.117038192451787</v>
      </c>
      <c r="E23" s="124">
        <f t="shared" si="1"/>
        <v>5.4495000000000002E-2</v>
      </c>
      <c r="F23" s="267">
        <v>57.853032207758012</v>
      </c>
      <c r="G23" s="111">
        <f t="shared" si="2"/>
        <v>4021.5</v>
      </c>
      <c r="H23" s="268">
        <v>54.515409643674325</v>
      </c>
      <c r="I23" s="124">
        <f t="shared" si="3"/>
        <v>8.4000000000000005E-2</v>
      </c>
      <c r="J23" s="267">
        <v>58.063572505610459</v>
      </c>
    </row>
    <row r="24" spans="2:10">
      <c r="B24" s="294">
        <v>0</v>
      </c>
      <c r="C24" s="288">
        <v>5.808615384615385E-2</v>
      </c>
      <c r="D24" s="289">
        <v>55.075873090014838</v>
      </c>
      <c r="E24" s="290">
        <v>5.1900000000000002E-2</v>
      </c>
      <c r="F24" s="289">
        <v>55.075873090014838</v>
      </c>
      <c r="G24" s="291">
        <v>3830</v>
      </c>
      <c r="H24" s="292">
        <v>55.075873090014838</v>
      </c>
      <c r="I24" s="290">
        <v>0.08</v>
      </c>
      <c r="J24" s="293">
        <v>55.075873090014838</v>
      </c>
    </row>
    <row r="25" spans="2:10">
      <c r="B25" s="284">
        <v>-0.05</v>
      </c>
      <c r="C25" s="124">
        <f t="shared" ref="C25:C30" si="4">$C$24*(1+B25)</f>
        <v>5.5181846153846158E-2</v>
      </c>
      <c r="D25" s="267">
        <v>53.071720198651981</v>
      </c>
      <c r="E25" s="124">
        <f t="shared" ref="E25:E30" si="5">$E$24*(1+B25)</f>
        <v>4.9305000000000002E-2</v>
      </c>
      <c r="F25" s="267">
        <v>52.366784461888081</v>
      </c>
      <c r="G25" s="111">
        <f t="shared" ref="G25:G30" si="6">$G$24*(1+B25)</f>
        <v>3638.5</v>
      </c>
      <c r="H25" s="268">
        <v>55.636311758411736</v>
      </c>
      <c r="I25" s="124">
        <f t="shared" ref="I25:I30" si="7">$I$24*(1+B25)</f>
        <v>7.5999999999999998E-2</v>
      </c>
      <c r="J25" s="267">
        <v>52.166810235741814</v>
      </c>
    </row>
    <row r="26" spans="2:10">
      <c r="B26" s="284">
        <v>-0.1</v>
      </c>
      <c r="C26" s="124">
        <f t="shared" si="4"/>
        <v>5.2277538461538466E-2</v>
      </c>
      <c r="D26" s="267">
        <v>51.103900201918421</v>
      </c>
      <c r="E26" s="124">
        <f t="shared" si="5"/>
        <v>4.6710000000000002E-2</v>
      </c>
      <c r="F26" s="267">
        <v>49.724077106566433</v>
      </c>
      <c r="G26" s="111">
        <f t="shared" si="6"/>
        <v>3447</v>
      </c>
      <c r="H26" s="268">
        <v>56.196725752605978</v>
      </c>
      <c r="I26" s="124">
        <f t="shared" si="7"/>
        <v>7.2000000000000008E-2</v>
      </c>
      <c r="J26" s="267">
        <v>49.334288328871231</v>
      </c>
    </row>
    <row r="27" spans="2:10">
      <c r="B27" s="284">
        <v>-0.15</v>
      </c>
      <c r="C27" s="124">
        <f t="shared" si="4"/>
        <v>4.9373230769230773E-2</v>
      </c>
      <c r="D27" s="267">
        <v>49.171745160273467</v>
      </c>
      <c r="E27" s="124">
        <f t="shared" si="5"/>
        <v>4.4115000000000001E-2</v>
      </c>
      <c r="F27" s="267">
        <v>47.146100065096569</v>
      </c>
      <c r="G27" s="111">
        <f t="shared" si="6"/>
        <v>3255.5</v>
      </c>
      <c r="H27" s="268">
        <v>56.757115175631526</v>
      </c>
      <c r="I27" s="124">
        <f t="shared" si="7"/>
        <v>6.8000000000000005E-2</v>
      </c>
      <c r="J27" s="267">
        <v>46.576262727272287</v>
      </c>
    </row>
    <row r="28" spans="2:10">
      <c r="B28" s="284">
        <v>-0.2</v>
      </c>
      <c r="C28" s="124">
        <f t="shared" si="4"/>
        <v>4.6468923076923081E-2</v>
      </c>
      <c r="D28" s="267">
        <v>47.274598326663252</v>
      </c>
      <c r="E28" s="124">
        <f t="shared" si="5"/>
        <v>4.1520000000000001E-2</v>
      </c>
      <c r="F28" s="267">
        <v>44.631239796021774</v>
      </c>
      <c r="G28" s="111">
        <f t="shared" si="6"/>
        <v>3064</v>
      </c>
      <c r="H28" s="268">
        <v>57.31748012982208</v>
      </c>
      <c r="I28" s="124">
        <f t="shared" si="7"/>
        <v>6.4000000000000001E-2</v>
      </c>
      <c r="J28" s="267">
        <v>43.89073855746183</v>
      </c>
    </row>
    <row r="29" spans="2:10">
      <c r="B29" s="284">
        <v>-0.25</v>
      </c>
      <c r="C29" s="124">
        <f t="shared" si="4"/>
        <v>4.3564615384615389E-2</v>
      </c>
      <c r="D29" s="267">
        <v>45.411813964362054</v>
      </c>
      <c r="E29" s="124">
        <f t="shared" si="5"/>
        <v>3.8925000000000001E-2</v>
      </c>
      <c r="F29" s="267">
        <v>42.177919348845109</v>
      </c>
      <c r="G29" s="111">
        <f t="shared" si="6"/>
        <v>2872.5</v>
      </c>
      <c r="H29" s="268">
        <v>57.877820716817574</v>
      </c>
      <c r="I29" s="124">
        <f t="shared" si="7"/>
        <v>0.06</v>
      </c>
      <c r="J29" s="267">
        <v>41.275769532690411</v>
      </c>
    </row>
    <row r="30" spans="2:10">
      <c r="B30" s="284">
        <v>-0.3</v>
      </c>
      <c r="C30" s="124">
        <f t="shared" si="4"/>
        <v>4.066030769230769E-2</v>
      </c>
      <c r="D30" s="267">
        <v>43.58275716702228</v>
      </c>
      <c r="E30" s="124">
        <f t="shared" si="5"/>
        <v>3.6330000000000001E-2</v>
      </c>
      <c r="F30" s="267">
        <v>39.784597550921085</v>
      </c>
      <c r="G30" s="111">
        <f t="shared" si="6"/>
        <v>2681</v>
      </c>
      <c r="H30" s="268">
        <v>58.438137037570826</v>
      </c>
      <c r="I30" s="124">
        <f t="shared" si="7"/>
        <v>5.5999999999999994E-2</v>
      </c>
      <c r="J30" s="267">
        <v>38.72945679157916</v>
      </c>
    </row>
    <row r="31" spans="2:10">
      <c r="B31" s="272"/>
      <c r="C31" s="124"/>
      <c r="D31" s="267"/>
      <c r="E31" s="124"/>
      <c r="F31" s="267"/>
      <c r="G31" s="124"/>
      <c r="H31" s="267"/>
      <c r="I31" s="111"/>
      <c r="J31" s="268"/>
    </row>
    <row r="32" spans="2:10">
      <c r="B32" s="272"/>
      <c r="C32" s="124"/>
      <c r="D32" s="267"/>
      <c r="E32" s="124"/>
      <c r="F32" s="267"/>
      <c r="G32" s="124"/>
      <c r="H32" s="267"/>
      <c r="I32" s="111"/>
      <c r="J32" s="268"/>
    </row>
    <row r="33" spans="2:10">
      <c r="B33" s="272"/>
      <c r="C33" s="124"/>
      <c r="D33" s="267"/>
      <c r="E33" s="124"/>
      <c r="F33" s="267"/>
      <c r="G33" s="124"/>
      <c r="H33" s="267"/>
      <c r="I33" s="111"/>
      <c r="J33" s="268"/>
    </row>
    <row r="34" spans="2:10">
      <c r="B34" s="272"/>
      <c r="C34" s="124"/>
      <c r="D34" s="267"/>
      <c r="E34" s="124"/>
      <c r="F34" s="267"/>
      <c r="G34" s="124"/>
      <c r="H34" s="267"/>
      <c r="I34" s="111"/>
      <c r="J34" s="268"/>
    </row>
    <row r="35" spans="2:10">
      <c r="B35" s="272"/>
      <c r="C35" s="124"/>
      <c r="D35" s="267"/>
      <c r="E35" s="124"/>
      <c r="F35" s="267"/>
      <c r="G35" s="124"/>
      <c r="H35" s="267"/>
      <c r="I35" s="111"/>
      <c r="J35" s="268"/>
    </row>
    <row r="36" spans="2:10">
      <c r="B36" s="272"/>
      <c r="C36" s="124"/>
      <c r="D36" s="267"/>
      <c r="E36" s="124"/>
      <c r="F36" s="267"/>
      <c r="G36" s="124"/>
      <c r="H36" s="267"/>
      <c r="I36" s="111"/>
      <c r="J36" s="268"/>
    </row>
    <row r="37" spans="2:10">
      <c r="B37" s="272"/>
      <c r="C37" s="124"/>
      <c r="D37" s="267"/>
      <c r="E37" s="124"/>
      <c r="F37" s="267"/>
      <c r="G37" s="124"/>
      <c r="H37" s="267"/>
      <c r="I37" s="111"/>
      <c r="J37" s="268"/>
    </row>
    <row r="38" spans="2:10">
      <c r="B38" s="272"/>
      <c r="C38" s="124"/>
      <c r="D38" s="267"/>
      <c r="E38" s="124"/>
      <c r="F38" s="267"/>
      <c r="G38" s="124"/>
      <c r="H38" s="267"/>
      <c r="I38" s="111"/>
      <c r="J38" s="268"/>
    </row>
    <row r="39" spans="2:10">
      <c r="B39" s="272"/>
      <c r="C39" s="124"/>
      <c r="D39" s="267"/>
      <c r="E39" s="124"/>
      <c r="F39" s="267"/>
      <c r="G39" s="124"/>
      <c r="H39" s="267"/>
      <c r="I39" s="111"/>
      <c r="J39" s="268"/>
    </row>
    <row r="40" spans="2:10">
      <c r="B40" s="272"/>
      <c r="C40" s="124"/>
      <c r="D40" s="267"/>
      <c r="E40" s="124"/>
      <c r="F40" s="267"/>
      <c r="G40" s="124"/>
      <c r="H40" s="267"/>
      <c r="I40" s="111"/>
      <c r="J40" s="268"/>
    </row>
    <row r="41" spans="2:10">
      <c r="B41" s="272"/>
      <c r="C41" s="124"/>
      <c r="D41" s="267"/>
      <c r="E41" s="124"/>
      <c r="F41" s="267"/>
      <c r="G41" s="124"/>
      <c r="H41" s="267"/>
      <c r="I41" s="111"/>
      <c r="J41" s="268"/>
    </row>
    <row r="42" spans="2:10">
      <c r="B42" s="272"/>
      <c r="C42" s="124"/>
      <c r="D42" s="267"/>
      <c r="E42" s="124"/>
      <c r="F42" s="267"/>
      <c r="G42" s="124"/>
      <c r="H42" s="267"/>
      <c r="I42" s="111"/>
      <c r="J42" s="268"/>
    </row>
    <row r="43" spans="2:10">
      <c r="B43" s="272"/>
      <c r="C43" s="124"/>
      <c r="D43" s="267"/>
      <c r="E43" s="124"/>
      <c r="F43" s="267"/>
      <c r="G43" s="124"/>
      <c r="H43" s="267"/>
      <c r="I43" s="111"/>
      <c r="J43" s="268"/>
    </row>
    <row r="44" spans="2:10">
      <c r="B44" s="272"/>
      <c r="C44" s="124"/>
      <c r="D44" s="267"/>
      <c r="E44" s="124"/>
      <c r="F44" s="267"/>
      <c r="G44" s="124"/>
      <c r="H44" s="267"/>
      <c r="I44" s="111"/>
      <c r="J44" s="268"/>
    </row>
    <row r="45" spans="2:10">
      <c r="B45" s="272"/>
      <c r="C45" s="124"/>
      <c r="D45" s="267"/>
      <c r="E45" s="124"/>
      <c r="F45" s="267"/>
      <c r="G45" s="124"/>
      <c r="H45" s="267"/>
      <c r="I45" s="111"/>
      <c r="J45" s="268"/>
    </row>
    <row r="46" spans="2:10">
      <c r="B46" s="272"/>
      <c r="C46" s="124"/>
      <c r="D46" s="267"/>
      <c r="E46" s="124"/>
      <c r="F46" s="267"/>
      <c r="G46" s="124"/>
      <c r="H46" s="267"/>
      <c r="I46" s="111"/>
      <c r="J46" s="268"/>
    </row>
    <row r="47" spans="2:10">
      <c r="B47" s="272"/>
      <c r="C47" s="124"/>
      <c r="D47" s="267"/>
      <c r="E47" s="124"/>
      <c r="F47" s="267"/>
      <c r="G47" s="124"/>
      <c r="H47" s="267"/>
      <c r="I47" s="111"/>
      <c r="J47" s="268"/>
    </row>
    <row r="48" spans="2:10">
      <c r="B48" s="272"/>
      <c r="C48" s="124"/>
      <c r="D48" s="267"/>
      <c r="E48" s="124"/>
      <c r="F48" s="267"/>
      <c r="G48" s="124"/>
      <c r="H48" s="267"/>
      <c r="I48" s="111"/>
      <c r="J48" s="268"/>
    </row>
    <row r="49" spans="2:10">
      <c r="B49" s="272"/>
      <c r="C49" s="124"/>
      <c r="D49" s="267"/>
      <c r="E49" s="124"/>
      <c r="F49" s="267"/>
      <c r="G49" s="124"/>
      <c r="H49" s="267"/>
      <c r="I49" s="111"/>
      <c r="J49" s="268"/>
    </row>
    <row r="50" spans="2:10">
      <c r="B50" s="272"/>
      <c r="C50" s="124"/>
      <c r="D50" s="267"/>
      <c r="E50" s="124"/>
      <c r="F50" s="267"/>
      <c r="G50" s="124"/>
      <c r="H50" s="267"/>
      <c r="I50" s="111"/>
      <c r="J50" s="268"/>
    </row>
    <row r="51" spans="2:10">
      <c r="B51" s="272"/>
      <c r="C51" s="124"/>
      <c r="D51" s="267"/>
      <c r="E51" s="124"/>
      <c r="F51" s="267"/>
      <c r="G51" s="124"/>
      <c r="H51" s="267"/>
      <c r="I51" s="111"/>
      <c r="J51" s="268"/>
    </row>
    <row r="52" spans="2:10">
      <c r="B52" s="272"/>
      <c r="C52" s="124"/>
      <c r="D52" s="267"/>
      <c r="E52" s="124"/>
      <c r="F52" s="267"/>
      <c r="G52" s="124"/>
      <c r="H52" s="267"/>
      <c r="I52" s="111"/>
      <c r="J52" s="268"/>
    </row>
    <row r="53" spans="2:10">
      <c r="B53" s="272"/>
      <c r="C53" s="124"/>
      <c r="D53" s="267"/>
      <c r="E53" s="124"/>
      <c r="F53" s="267"/>
      <c r="G53" s="124"/>
      <c r="H53" s="267"/>
      <c r="I53" s="111"/>
      <c r="J53" s="268"/>
    </row>
    <row r="60" spans="2:10" ht="13.8" thickBot="1">
      <c r="E60" s="269"/>
    </row>
    <row r="61" spans="2:10" ht="26.4">
      <c r="C61" s="326"/>
      <c r="D61" s="311" t="s">
        <v>191</v>
      </c>
      <c r="E61" s="311" t="s">
        <v>335</v>
      </c>
      <c r="F61" s="311" t="s">
        <v>264</v>
      </c>
      <c r="G61" s="311" t="s">
        <v>336</v>
      </c>
      <c r="H61" s="311" t="s">
        <v>345</v>
      </c>
      <c r="I61" s="311" t="s">
        <v>346</v>
      </c>
    </row>
    <row r="62" spans="2:10">
      <c r="C62" s="278" t="s">
        <v>342</v>
      </c>
      <c r="D62" s="124">
        <f ca="1">MIN(D$65:D$214)</f>
        <v>4.0709605148797963E-2</v>
      </c>
      <c r="E62" s="124">
        <f ca="1">MIN(E$65:E$214)</f>
        <v>3.6425733769308535E-2</v>
      </c>
      <c r="F62" s="124">
        <f ca="1">MIN(F$65:F$214)</f>
        <v>5.6440564412537357E-2</v>
      </c>
      <c r="G62" s="124">
        <f ca="1">MIN(G$65:G$214)</f>
        <v>0.11589154080578501</v>
      </c>
      <c r="H62" s="312">
        <f>MIN(H$65:H$214)</f>
        <v>32.244183216479748</v>
      </c>
      <c r="I62">
        <f>SUMIF($H$65:$H$214,$H62,$C$65:$C$214)</f>
        <v>127</v>
      </c>
    </row>
    <row r="63" spans="2:10" ht="13.8" thickBot="1">
      <c r="C63" s="327" t="s">
        <v>343</v>
      </c>
      <c r="D63" s="274">
        <f ca="1">MAX(D$65:D$214)</f>
        <v>7.5019899617130847E-2</v>
      </c>
      <c r="E63" s="274">
        <f ca="1">MAX(E$65:E$214)</f>
        <v>6.7468170693684937E-2</v>
      </c>
      <c r="F63" s="274">
        <f ca="1">MAX(F$65:F$214)</f>
        <v>0.10381181624750957</v>
      </c>
      <c r="G63" s="274">
        <f ca="1">MAX(G$65:G$214)</f>
        <v>0.19488288252577579</v>
      </c>
      <c r="H63" s="313">
        <f>MAX(H$65:H$214)</f>
        <v>105.87126613570436</v>
      </c>
      <c r="I63" s="271">
        <f>SUMIF($H$65:$H$214,$H63,$C$65:$C$214)</f>
        <v>129</v>
      </c>
    </row>
    <row r="64" spans="2:10" ht="13.8" thickBot="1">
      <c r="H64" s="310">
        <f>D11</f>
        <v>55.075873090014838</v>
      </c>
      <c r="I64" s="107"/>
    </row>
    <row r="65" spans="3:16" ht="15.6">
      <c r="C65" s="321">
        <v>1</v>
      </c>
      <c r="D65" s="322">
        <f t="shared" ref="D65:D128" ca="1" si="8">$C$18+($C$30-$C$18)*RAND()</f>
        <v>6.3170883669611974E-2</v>
      </c>
      <c r="E65" s="322">
        <f t="shared" ref="E65:E128" ca="1" si="9">$E$18+($E$30-$E$18)*RAND()</f>
        <v>4.247907060202033E-2</v>
      </c>
      <c r="F65" s="322">
        <f t="shared" ref="F65:F96" ca="1" si="10">$I$18+($I$30-$I$18)*RAND()</f>
        <v>8.2155182250114478E-2</v>
      </c>
      <c r="G65" s="323">
        <f ca="1">((1+(D65*0.7))*(1+(E65*1))*(1+(F65*0.7)))-1</f>
        <v>0.151179672355084</v>
      </c>
      <c r="H65" s="324">
        <f t="dataTable" ref="H65:H214" dt2D="0" dtr="0" r1="D12" ca="1"/>
        <v>40.545886133593378</v>
      </c>
      <c r="I65" s="252"/>
    </row>
    <row r="66" spans="3:16" ht="15">
      <c r="C66" s="112">
        <v>2</v>
      </c>
      <c r="D66" s="314">
        <f t="shared" ca="1" si="8"/>
        <v>6.7878720278520072E-2</v>
      </c>
      <c r="E66" s="314">
        <f t="shared" ca="1" si="9"/>
        <v>3.6997043906082688E-2</v>
      </c>
      <c r="F66" s="314">
        <f t="shared" ca="1" si="10"/>
        <v>7.4942139066050587E-2</v>
      </c>
      <c r="G66" s="315">
        <f t="shared" ref="G66:G128" ca="1" si="11">((1+(D66*0.7))*(1+(E66*1))*(1+(F66*0.7)))-1</f>
        <v>0.14325524816785196</v>
      </c>
      <c r="H66" s="316">
        <v>47.45312775332151</v>
      </c>
    </row>
    <row r="67" spans="3:16" ht="15">
      <c r="C67" s="112">
        <v>3</v>
      </c>
      <c r="D67" s="314">
        <f t="shared" ca="1" si="8"/>
        <v>6.2815953676187974E-2</v>
      </c>
      <c r="E67" s="314">
        <f t="shared" ca="1" si="9"/>
        <v>5.8008242080328884E-2</v>
      </c>
      <c r="F67" s="314">
        <f t="shared" ca="1" si="10"/>
        <v>8.3719366037535214E-2</v>
      </c>
      <c r="G67" s="315">
        <f t="shared" ca="1" si="11"/>
        <v>0.16925949159327791</v>
      </c>
      <c r="H67" s="316">
        <v>67.127081347378578</v>
      </c>
    </row>
    <row r="68" spans="3:16" ht="15">
      <c r="C68" s="112">
        <v>4</v>
      </c>
      <c r="D68" s="314">
        <f t="shared" ca="1" si="8"/>
        <v>5.3062922146652342E-2</v>
      </c>
      <c r="E68" s="314">
        <f t="shared" ca="1" si="9"/>
        <v>5.4543489198393351E-2</v>
      </c>
      <c r="F68" s="314">
        <f t="shared" ca="1" si="10"/>
        <v>9.5324845632240363E-2</v>
      </c>
      <c r="G68" s="315">
        <f t="shared" ca="1" si="11"/>
        <v>0.16669414996950049</v>
      </c>
      <c r="H68" s="316">
        <v>58.46390925741651</v>
      </c>
    </row>
    <row r="69" spans="3:16" ht="15">
      <c r="C69" s="112">
        <v>5</v>
      </c>
      <c r="D69" s="314">
        <f t="shared" ca="1" si="8"/>
        <v>4.9580275122055657E-2</v>
      </c>
      <c r="E69" s="314">
        <f t="shared" ca="1" si="9"/>
        <v>4.6794007792886311E-2</v>
      </c>
      <c r="F69" s="314">
        <f t="shared" ca="1" si="10"/>
        <v>9.0338194075969103E-2</v>
      </c>
      <c r="G69" s="315">
        <f t="shared" ca="1" si="11"/>
        <v>0.15161748382636286</v>
      </c>
      <c r="H69" s="316">
        <v>59.15421438574306</v>
      </c>
    </row>
    <row r="70" spans="3:16" ht="15">
      <c r="C70" s="112">
        <v>6</v>
      </c>
      <c r="D70" s="314">
        <f t="shared" ca="1" si="8"/>
        <v>5.5719146227904796E-2</v>
      </c>
      <c r="E70" s="314">
        <f t="shared" ca="1" si="9"/>
        <v>5.4097131269946627E-2</v>
      </c>
      <c r="F70" s="314">
        <f t="shared" ca="1" si="10"/>
        <v>5.8828855291347154E-2</v>
      </c>
      <c r="G70" s="315">
        <f t="shared" ca="1" si="11"/>
        <v>0.14031149205867233</v>
      </c>
      <c r="H70" s="316">
        <v>44.47683712638382</v>
      </c>
    </row>
    <row r="71" spans="3:16" ht="15">
      <c r="C71" s="112">
        <v>7</v>
      </c>
      <c r="D71" s="314">
        <f t="shared" ca="1" si="8"/>
        <v>4.3453420054689579E-2</v>
      </c>
      <c r="E71" s="314">
        <f t="shared" ca="1" si="9"/>
        <v>6.3248568157873081E-2</v>
      </c>
      <c r="F71" s="314">
        <f t="shared" ca="1" si="10"/>
        <v>8.4842304708302368E-2</v>
      </c>
      <c r="G71" s="315">
        <f t="shared" ca="1" si="11"/>
        <v>0.16065647448649201</v>
      </c>
      <c r="H71" s="316">
        <v>76.175903557544544</v>
      </c>
    </row>
    <row r="72" spans="3:16" ht="15">
      <c r="C72" s="112">
        <v>8</v>
      </c>
      <c r="D72" s="314">
        <f t="shared" ca="1" si="8"/>
        <v>4.2534458465779031E-2</v>
      </c>
      <c r="E72" s="314">
        <f t="shared" ca="1" si="9"/>
        <v>5.3171462891087901E-2</v>
      </c>
      <c r="F72" s="314">
        <f t="shared" ca="1" si="10"/>
        <v>6.9457046822575141E-2</v>
      </c>
      <c r="G72" s="315">
        <f t="shared" ca="1" si="11"/>
        <v>0.13725843071565946</v>
      </c>
      <c r="H72" s="316">
        <v>47.686303515199008</v>
      </c>
    </row>
    <row r="73" spans="3:16" ht="15">
      <c r="C73" s="112">
        <v>9</v>
      </c>
      <c r="D73" s="314">
        <f t="shared" ca="1" si="8"/>
        <v>4.9097802190167419E-2</v>
      </c>
      <c r="E73" s="314">
        <f t="shared" ca="1" si="9"/>
        <v>6.4762972876429487E-2</v>
      </c>
      <c r="F73" s="314">
        <f t="shared" ca="1" si="10"/>
        <v>9.6473507434517186E-2</v>
      </c>
      <c r="G73" s="315">
        <f t="shared" ca="1" si="11"/>
        <v>0.17573349514363623</v>
      </c>
      <c r="H73" s="316">
        <v>63.384170287168878</v>
      </c>
    </row>
    <row r="74" spans="3:16" ht="15">
      <c r="C74" s="112">
        <v>10</v>
      </c>
      <c r="D74" s="314">
        <f t="shared" ca="1" si="8"/>
        <v>4.7123717891579826E-2</v>
      </c>
      <c r="E74" s="314">
        <f t="shared" ca="1" si="9"/>
        <v>4.7729627406417882E-2</v>
      </c>
      <c r="F74" s="314">
        <f t="shared" ca="1" si="10"/>
        <v>9.7904442536037362E-2</v>
      </c>
      <c r="G74" s="315">
        <f t="shared" ca="1" si="11"/>
        <v>0.15646341334937652</v>
      </c>
      <c r="H74" s="316">
        <v>54.817933161144289</v>
      </c>
    </row>
    <row r="75" spans="3:16" ht="15">
      <c r="C75" s="112">
        <v>11</v>
      </c>
      <c r="D75" s="314">
        <f t="shared" ca="1" si="8"/>
        <v>6.6374591676868627E-2</v>
      </c>
      <c r="E75" s="314">
        <f t="shared" ca="1" si="9"/>
        <v>5.4568985244376728E-2</v>
      </c>
      <c r="F75" s="314">
        <f t="shared" ca="1" si="10"/>
        <v>7.719315149742588E-2</v>
      </c>
      <c r="G75" s="315">
        <f t="shared" ca="1" si="11"/>
        <v>0.16319804366268453</v>
      </c>
      <c r="H75" s="316">
        <v>63.328407958228475</v>
      </c>
    </row>
    <row r="76" spans="3:16" ht="15">
      <c r="C76" s="112">
        <v>12</v>
      </c>
      <c r="D76" s="314">
        <f t="shared" ca="1" si="8"/>
        <v>5.6994327510256307E-2</v>
      </c>
      <c r="E76" s="314">
        <f t="shared" ca="1" si="9"/>
        <v>5.1160309328666838E-2</v>
      </c>
      <c r="F76" s="314">
        <f t="shared" ca="1" si="10"/>
        <v>5.8712272054390453E-2</v>
      </c>
      <c r="G76" s="315">
        <f t="shared" ca="1" si="11"/>
        <v>0.13802219544141425</v>
      </c>
      <c r="H76" s="316">
        <v>54.195821616100844</v>
      </c>
    </row>
    <row r="77" spans="3:16" ht="15">
      <c r="C77" s="112">
        <v>13</v>
      </c>
      <c r="D77" s="314">
        <f t="shared" ca="1" si="8"/>
        <v>5.0209967362216355E-2</v>
      </c>
      <c r="E77" s="314">
        <f t="shared" ca="1" si="9"/>
        <v>5.0889703547267524E-2</v>
      </c>
      <c r="F77" s="314">
        <f t="shared" ca="1" si="10"/>
        <v>7.2027154303200197E-2</v>
      </c>
      <c r="G77" s="315">
        <f t="shared" ca="1" si="11"/>
        <v>0.1426723724627792</v>
      </c>
      <c r="H77" s="316">
        <v>46.811319010609125</v>
      </c>
    </row>
    <row r="78" spans="3:16" ht="15">
      <c r="C78" s="112">
        <v>14</v>
      </c>
      <c r="D78" s="314">
        <f t="shared" ca="1" si="8"/>
        <v>4.8204891366219499E-2</v>
      </c>
      <c r="E78" s="314">
        <f t="shared" ca="1" si="9"/>
        <v>4.2890484810072349E-2</v>
      </c>
      <c r="F78" s="314">
        <f t="shared" ca="1" si="10"/>
        <v>8.9355760465694128E-2</v>
      </c>
      <c r="G78" s="315">
        <f t="shared" ca="1" si="11"/>
        <v>0.14551411519314295</v>
      </c>
      <c r="H78" s="316">
        <v>58.187512527548407</v>
      </c>
    </row>
    <row r="79" spans="3:16" ht="15">
      <c r="C79" s="112">
        <v>15</v>
      </c>
      <c r="D79" s="314">
        <f t="shared" ca="1" si="8"/>
        <v>5.6394250476485469E-2</v>
      </c>
      <c r="E79" s="314">
        <f t="shared" ca="1" si="9"/>
        <v>4.0435136143993688E-2</v>
      </c>
      <c r="F79" s="314">
        <f t="shared" ca="1" si="10"/>
        <v>7.6792431406818476E-2</v>
      </c>
      <c r="G79" s="315">
        <f t="shared" ca="1" si="11"/>
        <v>0.13964343202095741</v>
      </c>
      <c r="H79" s="316">
        <v>65.739015788332409</v>
      </c>
      <c r="K79" s="268"/>
      <c r="M79" s="270"/>
      <c r="N79" s="268"/>
      <c r="P79" s="270"/>
    </row>
    <row r="80" spans="3:16" ht="15">
      <c r="C80" s="112">
        <v>16</v>
      </c>
      <c r="D80" s="314">
        <f t="shared" ca="1" si="8"/>
        <v>4.1588346857670294E-2</v>
      </c>
      <c r="E80" s="314">
        <f t="shared" ca="1" si="9"/>
        <v>6.4912284205706439E-2</v>
      </c>
      <c r="F80" s="314">
        <f t="shared" ca="1" si="10"/>
        <v>9.3439781559446253E-2</v>
      </c>
      <c r="G80" s="315">
        <f t="shared" ca="1" si="11"/>
        <v>0.16759520830257935</v>
      </c>
      <c r="H80" s="316">
        <v>53.538921211756382</v>
      </c>
      <c r="M80" s="270"/>
      <c r="P80" s="270"/>
    </row>
    <row r="81" spans="3:8" ht="15">
      <c r="C81" s="112">
        <v>17</v>
      </c>
      <c r="D81" s="314">
        <f t="shared" ca="1" si="8"/>
        <v>7.1014452520252E-2</v>
      </c>
      <c r="E81" s="314">
        <f t="shared" ca="1" si="9"/>
        <v>5.0565580877255968E-2</v>
      </c>
      <c r="F81" s="314">
        <f t="shared" ca="1" si="10"/>
        <v>9.4315822640597818E-2</v>
      </c>
      <c r="G81" s="315">
        <f t="shared" ca="1" si="11"/>
        <v>0.175596655817297</v>
      </c>
      <c r="H81" s="316">
        <v>48.291298252371824</v>
      </c>
    </row>
    <row r="82" spans="3:8" ht="15">
      <c r="C82" s="112">
        <v>18</v>
      </c>
      <c r="D82" s="314">
        <f t="shared" ca="1" si="8"/>
        <v>5.3744177304981287E-2</v>
      </c>
      <c r="E82" s="314">
        <f t="shared" ca="1" si="9"/>
        <v>5.5803892694711456E-2</v>
      </c>
      <c r="F82" s="314">
        <f t="shared" ca="1" si="10"/>
        <v>7.5717557741533117E-2</v>
      </c>
      <c r="G82" s="315">
        <f t="shared" ca="1" si="11"/>
        <v>0.15358950320353748</v>
      </c>
      <c r="H82" s="316">
        <v>47.01891860944896</v>
      </c>
    </row>
    <row r="83" spans="3:8" ht="15">
      <c r="C83" s="112">
        <v>19</v>
      </c>
      <c r="D83" s="314">
        <f t="shared" ca="1" si="8"/>
        <v>6.5906714162054778E-2</v>
      </c>
      <c r="E83" s="314">
        <f t="shared" ca="1" si="9"/>
        <v>6.4722322270949637E-2</v>
      </c>
      <c r="F83" s="314">
        <f t="shared" ca="1" si="10"/>
        <v>8.210265715775325E-2</v>
      </c>
      <c r="G83" s="315">
        <f t="shared" ca="1" si="11"/>
        <v>0.17785759417883273</v>
      </c>
      <c r="H83" s="316">
        <v>52.793702671143762</v>
      </c>
    </row>
    <row r="84" spans="3:8" ht="15">
      <c r="C84" s="112">
        <v>20</v>
      </c>
      <c r="D84" s="314">
        <f t="shared" ca="1" si="8"/>
        <v>5.1921693028730495E-2</v>
      </c>
      <c r="E84" s="314">
        <f t="shared" ca="1" si="9"/>
        <v>4.1677410998778225E-2</v>
      </c>
      <c r="F84" s="314">
        <f t="shared" ca="1" si="10"/>
        <v>5.8077990091347419E-2</v>
      </c>
      <c r="G84" s="315">
        <f t="shared" ca="1" si="11"/>
        <v>0.12342552178468136</v>
      </c>
      <c r="H84" s="316">
        <v>54.655504305110895</v>
      </c>
    </row>
    <row r="85" spans="3:8" ht="15">
      <c r="C85" s="112">
        <v>21</v>
      </c>
      <c r="D85" s="314">
        <f t="shared" ca="1" si="8"/>
        <v>4.7837128545808752E-2</v>
      </c>
      <c r="E85" s="314">
        <f t="shared" ca="1" si="9"/>
        <v>5.9941997378792806E-2</v>
      </c>
      <c r="F85" s="314">
        <f t="shared" ca="1" si="10"/>
        <v>6.775617116641762E-2</v>
      </c>
      <c r="G85" s="315">
        <f t="shared" ca="1" si="11"/>
        <v>0.14739095113633471</v>
      </c>
      <c r="H85" s="316">
        <v>52.015441221314703</v>
      </c>
    </row>
    <row r="86" spans="3:8" ht="15">
      <c r="C86" s="112">
        <v>22</v>
      </c>
      <c r="D86" s="314">
        <f t="shared" ca="1" si="8"/>
        <v>5.7697296289712111E-2</v>
      </c>
      <c r="E86" s="314">
        <f t="shared" ca="1" si="9"/>
        <v>6.3242211238137142E-2</v>
      </c>
      <c r="F86" s="314">
        <f t="shared" ca="1" si="10"/>
        <v>6.532337159649948E-2</v>
      </c>
      <c r="G86" s="315">
        <f t="shared" ca="1" si="11"/>
        <v>0.15676634503567</v>
      </c>
      <c r="H86" s="316">
        <v>57.672059436361266</v>
      </c>
    </row>
    <row r="87" spans="3:8" ht="15">
      <c r="C87" s="112">
        <v>23</v>
      </c>
      <c r="D87" s="314">
        <f t="shared" ca="1" si="8"/>
        <v>6.8887807019787223E-2</v>
      </c>
      <c r="E87" s="314">
        <f t="shared" ca="1" si="9"/>
        <v>6.3789074532793283E-2</v>
      </c>
      <c r="F87" s="314">
        <f t="shared" ca="1" si="10"/>
        <v>6.8297761979298391E-2</v>
      </c>
      <c r="G87" s="315">
        <f t="shared" ca="1" si="11"/>
        <v>0.16839708273155973</v>
      </c>
      <c r="H87" s="316">
        <v>44.691792711276129</v>
      </c>
    </row>
    <row r="88" spans="3:8" ht="15">
      <c r="C88" s="112">
        <v>24</v>
      </c>
      <c r="D88" s="314">
        <f t="shared" ca="1" si="8"/>
        <v>6.6802946585053896E-2</v>
      </c>
      <c r="E88" s="314">
        <f t="shared" ca="1" si="9"/>
        <v>5.1017429501181343E-2</v>
      </c>
      <c r="F88" s="314">
        <f t="shared" ca="1" si="10"/>
        <v>9.2816504572861627E-2</v>
      </c>
      <c r="G88" s="315">
        <f t="shared" ca="1" si="11"/>
        <v>0.17164461236801998</v>
      </c>
      <c r="H88" s="316">
        <v>52.245252576944395</v>
      </c>
    </row>
    <row r="89" spans="3:8" ht="15">
      <c r="C89" s="112">
        <v>25</v>
      </c>
      <c r="D89" s="314">
        <f t="shared" ca="1" si="8"/>
        <v>4.4322106553382624E-2</v>
      </c>
      <c r="E89" s="314">
        <f t="shared" ca="1" si="9"/>
        <v>5.5711321102966324E-2</v>
      </c>
      <c r="F89" s="314">
        <f t="shared" ca="1" si="10"/>
        <v>0.10381181624750957</v>
      </c>
      <c r="G89" s="315">
        <f t="shared" ca="1" si="11"/>
        <v>0.16756215518786233</v>
      </c>
      <c r="H89" s="316">
        <v>70.327283735450436</v>
      </c>
    </row>
    <row r="90" spans="3:8" ht="15">
      <c r="C90" s="112">
        <v>26</v>
      </c>
      <c r="D90" s="314">
        <f t="shared" ca="1" si="8"/>
        <v>4.0909645320638753E-2</v>
      </c>
      <c r="E90" s="314">
        <f t="shared" ca="1" si="9"/>
        <v>5.514505322128023E-2</v>
      </c>
      <c r="F90" s="314">
        <f t="shared" ca="1" si="10"/>
        <v>6.9760038331938307E-2</v>
      </c>
      <c r="G90" s="315">
        <f t="shared" ca="1" si="11"/>
        <v>0.13836135664882465</v>
      </c>
      <c r="H90" s="316">
        <v>43.268055816678434</v>
      </c>
    </row>
    <row r="91" spans="3:8" ht="15">
      <c r="C91" s="112">
        <v>27</v>
      </c>
      <c r="D91" s="314">
        <f t="shared" ca="1" si="8"/>
        <v>6.1970402638034827E-2</v>
      </c>
      <c r="E91" s="314">
        <f t="shared" ca="1" si="9"/>
        <v>5.3822016340844041E-2</v>
      </c>
      <c r="F91" s="314">
        <f t="shared" ca="1" si="10"/>
        <v>6.6604225644101928E-2</v>
      </c>
      <c r="G91" s="315">
        <f t="shared" ca="1" si="11"/>
        <v>0.15079968202962646</v>
      </c>
      <c r="H91" s="316">
        <v>46.747380285628424</v>
      </c>
    </row>
    <row r="92" spans="3:8" ht="15">
      <c r="C92" s="112">
        <v>28</v>
      </c>
      <c r="D92" s="314">
        <f t="shared" ca="1" si="8"/>
        <v>4.1524200542430903E-2</v>
      </c>
      <c r="E92" s="314">
        <f t="shared" ca="1" si="9"/>
        <v>5.5787919080490994E-2</v>
      </c>
      <c r="F92" s="314">
        <f t="shared" ca="1" si="10"/>
        <v>7.0507130429452947E-2</v>
      </c>
      <c r="G92" s="315">
        <f t="shared" ca="1" si="11"/>
        <v>0.14009947899913122</v>
      </c>
      <c r="H92" s="316">
        <v>91.026152508998877</v>
      </c>
    </row>
    <row r="93" spans="3:8" ht="15">
      <c r="C93" s="112">
        <v>29</v>
      </c>
      <c r="D93" s="314">
        <f t="shared" ca="1" si="8"/>
        <v>6.9161573637537721E-2</v>
      </c>
      <c r="E93" s="314">
        <f t="shared" ca="1" si="9"/>
        <v>6.2137098759012556E-2</v>
      </c>
      <c r="F93" s="314">
        <f t="shared" ca="1" si="10"/>
        <v>7.921310344521057E-2</v>
      </c>
      <c r="G93" s="315">
        <f t="shared" ca="1" si="11"/>
        <v>0.17530434446053844</v>
      </c>
      <c r="H93" s="316">
        <v>55.888397891073922</v>
      </c>
    </row>
    <row r="94" spans="3:8" ht="15">
      <c r="C94" s="112">
        <v>30</v>
      </c>
      <c r="D94" s="314">
        <f t="shared" ca="1" si="8"/>
        <v>4.9968648705047518E-2</v>
      </c>
      <c r="E94" s="314">
        <f t="shared" ca="1" si="9"/>
        <v>4.8722373101115379E-2</v>
      </c>
      <c r="F94" s="314">
        <f t="shared" ca="1" si="10"/>
        <v>9.0659489454523554E-2</v>
      </c>
      <c r="G94" s="315">
        <f t="shared" ca="1" si="11"/>
        <v>0.15428620241956681</v>
      </c>
      <c r="H94" s="316">
        <v>49.159219765347743</v>
      </c>
    </row>
    <row r="95" spans="3:8" ht="15">
      <c r="C95" s="112">
        <v>31</v>
      </c>
      <c r="D95" s="314">
        <f t="shared" ca="1" si="8"/>
        <v>5.8909451218173217E-2</v>
      </c>
      <c r="E95" s="314">
        <f t="shared" ca="1" si="9"/>
        <v>4.4354789793209864E-2</v>
      </c>
      <c r="F95" s="314">
        <f t="shared" ca="1" si="10"/>
        <v>7.7522046063241409E-2</v>
      </c>
      <c r="G95" s="315">
        <f t="shared" ca="1" si="11"/>
        <v>0.14642978766558135</v>
      </c>
      <c r="H95" s="316">
        <v>73.656077904813884</v>
      </c>
    </row>
    <row r="96" spans="3:8" ht="15">
      <c r="C96" s="112">
        <v>32</v>
      </c>
      <c r="D96" s="314">
        <f t="shared" ca="1" si="8"/>
        <v>7.162393021806851E-2</v>
      </c>
      <c r="E96" s="314">
        <f t="shared" ca="1" si="9"/>
        <v>3.8073951378985602E-2</v>
      </c>
      <c r="F96" s="314">
        <f t="shared" ca="1" si="10"/>
        <v>8.1666860119842186E-2</v>
      </c>
      <c r="G96" s="315">
        <f t="shared" ca="1" si="11"/>
        <v>0.15243825856458293</v>
      </c>
      <c r="H96" s="316">
        <v>66.146304156676464</v>
      </c>
    </row>
    <row r="97" spans="3:8" ht="15">
      <c r="C97" s="112">
        <v>33</v>
      </c>
      <c r="D97" s="314">
        <f t="shared" ca="1" si="8"/>
        <v>4.5531707136407959E-2</v>
      </c>
      <c r="E97" s="314">
        <f t="shared" ca="1" si="9"/>
        <v>6.1852960056802644E-2</v>
      </c>
      <c r="F97" s="314">
        <f t="shared" ref="F97:F128" ca="1" si="12">$I$18+($I$30-$I$18)*RAND()</f>
        <v>6.1919820139746333E-2</v>
      </c>
      <c r="G97" s="315">
        <f t="shared" ca="1" si="11"/>
        <v>0.14318827773726706</v>
      </c>
      <c r="H97" s="316">
        <v>33.899127541861468</v>
      </c>
    </row>
    <row r="98" spans="3:8" ht="15">
      <c r="C98" s="112">
        <v>34</v>
      </c>
      <c r="D98" s="314">
        <f t="shared" ca="1" si="8"/>
        <v>4.8714815309125387E-2</v>
      </c>
      <c r="E98" s="314">
        <f t="shared" ca="1" si="9"/>
        <v>5.4535213667467004E-2</v>
      </c>
      <c r="F98" s="314">
        <f t="shared" ca="1" si="12"/>
        <v>8.366646698587607E-2</v>
      </c>
      <c r="G98" s="315">
        <f t="shared" ca="1" si="11"/>
        <v>0.15436177508517712</v>
      </c>
      <c r="H98" s="316">
        <v>76.68793900344285</v>
      </c>
    </row>
    <row r="99" spans="3:8" ht="15">
      <c r="C99" s="112">
        <v>35</v>
      </c>
      <c r="D99" s="314">
        <f t="shared" ca="1" si="8"/>
        <v>4.3335655685419444E-2</v>
      </c>
      <c r="E99" s="314">
        <f t="shared" ca="1" si="9"/>
        <v>3.9259694477643117E-2</v>
      </c>
      <c r="F99" s="314">
        <f t="shared" ca="1" si="12"/>
        <v>6.0177374644978306E-2</v>
      </c>
      <c r="G99" s="315">
        <f t="shared" ca="1" si="11"/>
        <v>0.11589154080578501</v>
      </c>
      <c r="H99" s="316">
        <v>32.311783905335311</v>
      </c>
    </row>
    <row r="100" spans="3:8" ht="15">
      <c r="C100" s="112">
        <v>36</v>
      </c>
      <c r="D100" s="314">
        <f t="shared" ca="1" si="8"/>
        <v>6.6496933444157497E-2</v>
      </c>
      <c r="E100" s="314">
        <f t="shared" ca="1" si="9"/>
        <v>4.2855703725520958E-2</v>
      </c>
      <c r="F100" s="314">
        <f t="shared" ca="1" si="12"/>
        <v>6.6328269051178917E-2</v>
      </c>
      <c r="G100" s="315">
        <f t="shared" ca="1" si="11"/>
        <v>0.14207179476749054</v>
      </c>
      <c r="H100" s="316">
        <v>32.89968640014358</v>
      </c>
    </row>
    <row r="101" spans="3:8" ht="15">
      <c r="C101" s="112">
        <v>37</v>
      </c>
      <c r="D101" s="314">
        <f t="shared" ca="1" si="8"/>
        <v>5.5457586587548145E-2</v>
      </c>
      <c r="E101" s="314">
        <f t="shared" ca="1" si="9"/>
        <v>6.0751969474358195E-2</v>
      </c>
      <c r="F101" s="314">
        <f t="shared" ca="1" si="12"/>
        <v>7.1434257909699067E-2</v>
      </c>
      <c r="G101" s="315">
        <f t="shared" ca="1" si="11"/>
        <v>0.15703161120708042</v>
      </c>
      <c r="H101" s="316">
        <v>75.076268505156747</v>
      </c>
    </row>
    <row r="102" spans="3:8" ht="15">
      <c r="C102" s="112">
        <v>38</v>
      </c>
      <c r="D102" s="314">
        <f t="shared" ca="1" si="8"/>
        <v>6.4278165018450434E-2</v>
      </c>
      <c r="E102" s="314">
        <f t="shared" ca="1" si="9"/>
        <v>4.6651186838063255E-2</v>
      </c>
      <c r="F102" s="314">
        <f t="shared" ca="1" si="12"/>
        <v>7.7182985694593018E-2</v>
      </c>
      <c r="G102" s="315">
        <f t="shared" ca="1" si="11"/>
        <v>0.15283791031040384</v>
      </c>
      <c r="H102" s="316">
        <v>48.102971122496463</v>
      </c>
    </row>
    <row r="103" spans="3:8" ht="15">
      <c r="C103" s="112">
        <v>39</v>
      </c>
      <c r="D103" s="314">
        <f t="shared" ca="1" si="8"/>
        <v>4.3778143862217435E-2</v>
      </c>
      <c r="E103" s="314">
        <f t="shared" ca="1" si="9"/>
        <v>5.9143503227034155E-2</v>
      </c>
      <c r="F103" s="314">
        <f t="shared" ca="1" si="12"/>
        <v>7.7749970309658287E-2</v>
      </c>
      <c r="G103" s="315">
        <f t="shared" ca="1" si="11"/>
        <v>0.15101098096988652</v>
      </c>
      <c r="H103" s="316">
        <v>46.444589787844961</v>
      </c>
    </row>
    <row r="104" spans="3:8" ht="15">
      <c r="C104" s="112">
        <v>40</v>
      </c>
      <c r="D104" s="314">
        <f t="shared" ca="1" si="8"/>
        <v>4.9995174802644121E-2</v>
      </c>
      <c r="E104" s="314">
        <f t="shared" ca="1" si="9"/>
        <v>5.1246951530157014E-2</v>
      </c>
      <c r="F104" s="314">
        <f t="shared" ca="1" si="12"/>
        <v>7.9158366006646372E-2</v>
      </c>
      <c r="G104" s="315">
        <f t="shared" ca="1" si="11"/>
        <v>0.14832610829797077</v>
      </c>
      <c r="H104" s="316">
        <v>103.92209143449155</v>
      </c>
    </row>
    <row r="105" spans="3:8" ht="15">
      <c r="C105" s="112">
        <v>41</v>
      </c>
      <c r="D105" s="314">
        <f t="shared" ca="1" si="8"/>
        <v>7.3522339611735377E-2</v>
      </c>
      <c r="E105" s="314">
        <f t="shared" ca="1" si="9"/>
        <v>4.9095455429950016E-2</v>
      </c>
      <c r="F105" s="314">
        <f t="shared" ca="1" si="12"/>
        <v>7.757152000861206E-2</v>
      </c>
      <c r="G105" s="315">
        <f t="shared" ca="1" si="11"/>
        <v>0.16298556142471643</v>
      </c>
      <c r="H105" s="316">
        <v>43.535874458626282</v>
      </c>
    </row>
    <row r="106" spans="3:8" ht="15">
      <c r="C106" s="112">
        <v>42</v>
      </c>
      <c r="D106" s="314">
        <f t="shared" ca="1" si="8"/>
        <v>6.927298091664276E-2</v>
      </c>
      <c r="E106" s="314">
        <f t="shared" ca="1" si="9"/>
        <v>6.0394978873767886E-2</v>
      </c>
      <c r="F106" s="314">
        <f t="shared" ca="1" si="12"/>
        <v>9.5592140119111241E-2</v>
      </c>
      <c r="G106" s="315">
        <f t="shared" ca="1" si="11"/>
        <v>0.18621120518812728</v>
      </c>
      <c r="H106" s="316">
        <v>46.738521390212462</v>
      </c>
    </row>
    <row r="107" spans="3:8" ht="15">
      <c r="C107" s="112">
        <v>43</v>
      </c>
      <c r="D107" s="314">
        <f t="shared" ca="1" si="8"/>
        <v>6.6460881858074597E-2</v>
      </c>
      <c r="E107" s="314">
        <f t="shared" ca="1" si="9"/>
        <v>4.3385185367045012E-2</v>
      </c>
      <c r="F107" s="314">
        <f t="shared" ca="1" si="12"/>
        <v>6.6655280039413595E-2</v>
      </c>
      <c r="G107" s="315">
        <f t="shared" ca="1" si="11"/>
        <v>0.14287404746212218</v>
      </c>
      <c r="H107" s="316">
        <v>96.624009318921523</v>
      </c>
    </row>
    <row r="108" spans="3:8" ht="15">
      <c r="C108" s="112">
        <v>44</v>
      </c>
      <c r="D108" s="314">
        <f t="shared" ca="1" si="8"/>
        <v>7.0021087793254569E-2</v>
      </c>
      <c r="E108" s="314">
        <f t="shared" ca="1" si="9"/>
        <v>4.1231895166217725E-2</v>
      </c>
      <c r="F108" s="314">
        <f t="shared" ca="1" si="12"/>
        <v>9.9352660622982619E-2</v>
      </c>
      <c r="G108" s="315">
        <f t="shared" ca="1" si="11"/>
        <v>0.16823141460418656</v>
      </c>
      <c r="H108" s="316">
        <v>74.613809284978146</v>
      </c>
    </row>
    <row r="109" spans="3:8" ht="15">
      <c r="C109" s="112">
        <v>45</v>
      </c>
      <c r="D109" s="314">
        <f t="shared" ca="1" si="8"/>
        <v>4.7565031708364972E-2</v>
      </c>
      <c r="E109" s="314">
        <f t="shared" ca="1" si="9"/>
        <v>5.6811177808302436E-2</v>
      </c>
      <c r="F109" s="314">
        <f t="shared" ca="1" si="12"/>
        <v>0.10298880309499442</v>
      </c>
      <c r="G109" s="315">
        <f t="shared" ca="1" si="11"/>
        <v>0.17072277332528007</v>
      </c>
      <c r="H109" s="316">
        <v>95.168200377784373</v>
      </c>
    </row>
    <row r="110" spans="3:8" ht="15">
      <c r="C110" s="112">
        <v>46</v>
      </c>
      <c r="D110" s="314">
        <f t="shared" ca="1" si="8"/>
        <v>4.9394614647805132E-2</v>
      </c>
      <c r="E110" s="314">
        <f t="shared" ca="1" si="9"/>
        <v>4.1046270236297075E-2</v>
      </c>
      <c r="F110" s="314">
        <f t="shared" ca="1" si="12"/>
        <v>0.10157645998135691</v>
      </c>
      <c r="G110" s="315">
        <f t="shared" ca="1" si="11"/>
        <v>0.15362318581039269</v>
      </c>
      <c r="H110" s="316">
        <v>59.699205482016055</v>
      </c>
    </row>
    <row r="111" spans="3:8" ht="15">
      <c r="C111" s="112">
        <v>47</v>
      </c>
      <c r="D111" s="314">
        <f t="shared" ca="1" si="8"/>
        <v>4.4558210701666975E-2</v>
      </c>
      <c r="E111" s="314">
        <f t="shared" ca="1" si="9"/>
        <v>5.0315251564814131E-2</v>
      </c>
      <c r="F111" s="314">
        <f t="shared" ca="1" si="12"/>
        <v>7.1545059155393942E-2</v>
      </c>
      <c r="G111" s="315">
        <f t="shared" ca="1" si="11"/>
        <v>0.1373174533220467</v>
      </c>
      <c r="H111" s="316">
        <v>68.65349925517863</v>
      </c>
    </row>
    <row r="112" spans="3:8" ht="15">
      <c r="C112" s="112">
        <v>48</v>
      </c>
      <c r="D112" s="314">
        <f t="shared" ca="1" si="8"/>
        <v>5.3388541481999091E-2</v>
      </c>
      <c r="E112" s="314">
        <f t="shared" ca="1" si="9"/>
        <v>3.9773717581959578E-2</v>
      </c>
      <c r="F112" s="314">
        <f t="shared" ca="1" si="12"/>
        <v>7.1165030097915277E-2</v>
      </c>
      <c r="G112" s="315">
        <f t="shared" ca="1" si="11"/>
        <v>0.13236474021624467</v>
      </c>
      <c r="H112" s="316">
        <v>62.855163453000024</v>
      </c>
    </row>
    <row r="113" spans="3:8" ht="15">
      <c r="C113" s="112">
        <v>49</v>
      </c>
      <c r="D113" s="314">
        <f t="shared" ca="1" si="8"/>
        <v>6.2235547005299929E-2</v>
      </c>
      <c r="E113" s="314">
        <f t="shared" ca="1" si="9"/>
        <v>6.4436072183067641E-2</v>
      </c>
      <c r="F113" s="314">
        <f t="shared" ca="1" si="12"/>
        <v>6.0615082302187949E-2</v>
      </c>
      <c r="G113" s="315">
        <f t="shared" ca="1" si="11"/>
        <v>0.15794031232187877</v>
      </c>
      <c r="H113" s="316">
        <v>55.26985941869404</v>
      </c>
    </row>
    <row r="114" spans="3:8" ht="15">
      <c r="C114" s="112">
        <v>50</v>
      </c>
      <c r="D114" s="314">
        <f t="shared" ca="1" si="8"/>
        <v>4.4334029191427066E-2</v>
      </c>
      <c r="E114" s="314">
        <f t="shared" ca="1" si="9"/>
        <v>3.7874866989174513E-2</v>
      </c>
      <c r="F114" s="314">
        <f t="shared" ca="1" si="12"/>
        <v>9.902802183706623E-2</v>
      </c>
      <c r="G114" s="315">
        <f t="shared" ca="1" si="11"/>
        <v>0.14426190663430272</v>
      </c>
      <c r="H114" s="316">
        <v>71.791034596596447</v>
      </c>
    </row>
    <row r="115" spans="3:8" ht="15">
      <c r="C115" s="112">
        <v>51</v>
      </c>
      <c r="D115" s="314">
        <f t="shared" ca="1" si="8"/>
        <v>7.444168535434334E-2</v>
      </c>
      <c r="E115" s="314">
        <f t="shared" ca="1" si="9"/>
        <v>3.8190524688463068E-2</v>
      </c>
      <c r="F115" s="314">
        <f t="shared" ca="1" si="12"/>
        <v>7.5442937445106689E-2</v>
      </c>
      <c r="G115" s="315">
        <f t="shared" ca="1" si="11"/>
        <v>0.14997366610470331</v>
      </c>
      <c r="H115" s="316">
        <v>76.411327001815749</v>
      </c>
    </row>
    <row r="116" spans="3:8" ht="15">
      <c r="C116" s="112">
        <v>52</v>
      </c>
      <c r="D116" s="314">
        <f t="shared" ca="1" si="8"/>
        <v>6.465186777059323E-2</v>
      </c>
      <c r="E116" s="314">
        <f t="shared" ca="1" si="9"/>
        <v>6.0711071777926673E-2</v>
      </c>
      <c r="F116" s="314">
        <f t="shared" ca="1" si="12"/>
        <v>7.4817477292207654E-2</v>
      </c>
      <c r="G116" s="315">
        <f t="shared" ca="1" si="11"/>
        <v>0.16678081644252551</v>
      </c>
      <c r="H116" s="316">
        <v>66.494010308416549</v>
      </c>
    </row>
    <row r="117" spans="3:8" ht="15">
      <c r="C117" s="112">
        <v>53</v>
      </c>
      <c r="D117" s="314">
        <f t="shared" ca="1" si="8"/>
        <v>6.4973566744542369E-2</v>
      </c>
      <c r="E117" s="314">
        <f t="shared" ca="1" si="9"/>
        <v>5.4968049114686272E-2</v>
      </c>
      <c r="F117" s="314">
        <f t="shared" ca="1" si="12"/>
        <v>6.7463307241721837E-2</v>
      </c>
      <c r="G117" s="315">
        <f t="shared" ca="1" si="11"/>
        <v>0.15503561321581505</v>
      </c>
      <c r="H117" s="316">
        <v>45.612416615406694</v>
      </c>
    </row>
    <row r="118" spans="3:8" ht="15">
      <c r="C118" s="112">
        <v>54</v>
      </c>
      <c r="D118" s="314">
        <f t="shared" ca="1" si="8"/>
        <v>5.0577968063182349E-2</v>
      </c>
      <c r="E118" s="314">
        <f t="shared" ca="1" si="9"/>
        <v>5.2594379828863176E-2</v>
      </c>
      <c r="F118" s="314">
        <f t="shared" ca="1" si="12"/>
        <v>9.0943686357105244E-2</v>
      </c>
      <c r="G118" s="315">
        <f t="shared" ca="1" si="11"/>
        <v>0.15924222564760204</v>
      </c>
      <c r="H118" s="316">
        <v>59.774300102286666</v>
      </c>
    </row>
    <row r="119" spans="3:8" ht="15">
      <c r="C119" s="112">
        <v>55</v>
      </c>
      <c r="D119" s="314">
        <f t="shared" ca="1" si="8"/>
        <v>5.4542007999389894E-2</v>
      </c>
      <c r="E119" s="314">
        <f t="shared" ca="1" si="9"/>
        <v>5.3891240240725578E-2</v>
      </c>
      <c r="F119" s="314">
        <f t="shared" ca="1" si="12"/>
        <v>8.1258710622618149E-2</v>
      </c>
      <c r="G119" s="315">
        <f t="shared" ca="1" si="11"/>
        <v>0.15636339305092584</v>
      </c>
      <c r="H119" s="316">
        <v>67.243659667475441</v>
      </c>
    </row>
    <row r="120" spans="3:8" ht="15">
      <c r="C120" s="112">
        <v>56</v>
      </c>
      <c r="D120" s="314">
        <f t="shared" ca="1" si="8"/>
        <v>6.6471418166401161E-2</v>
      </c>
      <c r="E120" s="314">
        <f t="shared" ca="1" si="9"/>
        <v>5.9321382920569321E-2</v>
      </c>
      <c r="F120" s="314">
        <f t="shared" ca="1" si="12"/>
        <v>8.8188715880968174E-2</v>
      </c>
      <c r="G120" s="315">
        <f t="shared" ca="1" si="11"/>
        <v>0.17704852249026604</v>
      </c>
      <c r="H120" s="316">
        <v>86.211926681044446</v>
      </c>
    </row>
    <row r="121" spans="3:8" ht="15">
      <c r="C121" s="112">
        <v>57</v>
      </c>
      <c r="D121" s="314">
        <f t="shared" ca="1" si="8"/>
        <v>6.2183807751091023E-2</v>
      </c>
      <c r="E121" s="314">
        <f t="shared" ca="1" si="9"/>
        <v>4.4428450589789587E-2</v>
      </c>
      <c r="F121" s="314">
        <f t="shared" ca="1" si="12"/>
        <v>8.9530017407642701E-2</v>
      </c>
      <c r="G121" s="315">
        <f t="shared" ca="1" si="11"/>
        <v>0.1581956010215535</v>
      </c>
      <c r="H121" s="316">
        <v>44.1858712349256</v>
      </c>
    </row>
    <row r="122" spans="3:8" ht="15">
      <c r="C122" s="112">
        <v>58</v>
      </c>
      <c r="D122" s="314">
        <f t="shared" ca="1" si="8"/>
        <v>5.1572178910520065E-2</v>
      </c>
      <c r="E122" s="314">
        <f t="shared" ca="1" si="9"/>
        <v>4.0091550415185508E-2</v>
      </c>
      <c r="F122" s="314">
        <f t="shared" ca="1" si="12"/>
        <v>8.4556128228236827E-2</v>
      </c>
      <c r="G122" s="315">
        <f t="shared" ca="1" si="11"/>
        <v>0.14142411248270315</v>
      </c>
      <c r="H122" s="316">
        <v>34.25217560557401</v>
      </c>
    </row>
    <row r="123" spans="3:8" ht="15">
      <c r="C123" s="112">
        <v>59</v>
      </c>
      <c r="D123" s="314">
        <f t="shared" ca="1" si="8"/>
        <v>6.6616465616105472E-2</v>
      </c>
      <c r="E123" s="314">
        <f t="shared" ca="1" si="9"/>
        <v>5.8121540685518377E-2</v>
      </c>
      <c r="F123" s="314">
        <f t="shared" ca="1" si="12"/>
        <v>8.3987810142013397E-2</v>
      </c>
      <c r="G123" s="315">
        <f t="shared" ca="1" si="11"/>
        <v>0.17257275860326038</v>
      </c>
      <c r="H123" s="316">
        <v>53.77051715865629</v>
      </c>
    </row>
    <row r="124" spans="3:8" ht="15">
      <c r="C124" s="112">
        <v>60</v>
      </c>
      <c r="D124" s="314">
        <f t="shared" ca="1" si="8"/>
        <v>5.8260670481087455E-2</v>
      </c>
      <c r="E124" s="314">
        <f t="shared" ca="1" si="9"/>
        <v>5.7734592489002007E-2</v>
      </c>
      <c r="F124" s="314">
        <f t="shared" ca="1" si="12"/>
        <v>7.0884189678304815E-2</v>
      </c>
      <c r="G124" s="315">
        <f t="shared" ca="1" si="11"/>
        <v>0.15549569603336777</v>
      </c>
      <c r="H124" s="316">
        <v>47.400346418256674</v>
      </c>
    </row>
    <row r="125" spans="3:8" ht="15">
      <c r="C125" s="112">
        <v>61</v>
      </c>
      <c r="D125" s="314">
        <f t="shared" ca="1" si="8"/>
        <v>4.3073071865081983E-2</v>
      </c>
      <c r="E125" s="314">
        <f t="shared" ca="1" si="9"/>
        <v>6.1652982651332365E-2</v>
      </c>
      <c r="F125" s="314">
        <f t="shared" ca="1" si="12"/>
        <v>6.5235854873040372E-2</v>
      </c>
      <c r="G125" s="315">
        <f t="shared" ca="1" si="11"/>
        <v>0.14360527171333848</v>
      </c>
      <c r="H125" s="316">
        <v>51.411293299602008</v>
      </c>
    </row>
    <row r="126" spans="3:8" ht="15">
      <c r="C126" s="112">
        <v>62</v>
      </c>
      <c r="D126" s="314">
        <f t="shared" ca="1" si="8"/>
        <v>5.1236884266392946E-2</v>
      </c>
      <c r="E126" s="314">
        <f t="shared" ca="1" si="9"/>
        <v>3.9985124117123766E-2</v>
      </c>
      <c r="F126" s="314">
        <f t="shared" ca="1" si="12"/>
        <v>6.1402441930547363E-2</v>
      </c>
      <c r="G126" s="315">
        <f t="shared" ca="1" si="11"/>
        <v>0.12358859490524154</v>
      </c>
      <c r="H126" s="316">
        <v>56.056344571569262</v>
      </c>
    </row>
    <row r="127" spans="3:8" ht="15">
      <c r="C127" s="112">
        <v>63</v>
      </c>
      <c r="D127" s="314">
        <f t="shared" ca="1" si="8"/>
        <v>7.2650493893382309E-2</v>
      </c>
      <c r="E127" s="314">
        <f t="shared" ca="1" si="9"/>
        <v>5.4775417386481756E-2</v>
      </c>
      <c r="F127" s="314">
        <f t="shared" ca="1" si="12"/>
        <v>7.1969488956091732E-2</v>
      </c>
      <c r="G127" s="315">
        <f t="shared" ca="1" si="11"/>
        <v>0.16425689849095182</v>
      </c>
      <c r="H127" s="316">
        <v>42.11702021752906</v>
      </c>
    </row>
    <row r="128" spans="3:8" ht="15">
      <c r="C128" s="112">
        <v>64</v>
      </c>
      <c r="D128" s="314">
        <f t="shared" ca="1" si="8"/>
        <v>6.1821161778862044E-2</v>
      </c>
      <c r="E128" s="314">
        <f t="shared" ca="1" si="9"/>
        <v>5.6919440096386678E-2</v>
      </c>
      <c r="F128" s="314">
        <f t="shared" ca="1" si="12"/>
        <v>0.10367066202904959</v>
      </c>
      <c r="G128" s="315">
        <f t="shared" ca="1" si="11"/>
        <v>0.18267668962086026</v>
      </c>
      <c r="H128" s="316">
        <v>90.794254392419148</v>
      </c>
    </row>
    <row r="129" spans="3:8" ht="15">
      <c r="C129" s="112">
        <v>65</v>
      </c>
      <c r="D129" s="314">
        <f t="shared" ref="D129:D192" ca="1" si="13">$C$18+($C$30-$C$18)*RAND()</f>
        <v>4.3046349979241318E-2</v>
      </c>
      <c r="E129" s="314">
        <f t="shared" ref="E129:E192" ca="1" si="14">$E$18+($E$30-$E$18)*RAND()</f>
        <v>3.6425733769308535E-2</v>
      </c>
      <c r="F129" s="314">
        <f t="shared" ref="F129:F160" ca="1" si="15">$I$18+($I$30-$I$18)*RAND()</f>
        <v>8.7061114710598297E-2</v>
      </c>
      <c r="G129" s="315">
        <f t="shared" ref="G129:G192" ca="1" si="16">((1+(D129*0.7))*(1+(E129*1))*(1+(F129*0.7)))-1</f>
        <v>0.13272168651331384</v>
      </c>
      <c r="H129" s="316">
        <v>54.445716702059272</v>
      </c>
    </row>
    <row r="130" spans="3:8" ht="15">
      <c r="C130" s="112">
        <v>66</v>
      </c>
      <c r="D130" s="314">
        <f t="shared" ca="1" si="13"/>
        <v>6.950635725397776E-2</v>
      </c>
      <c r="E130" s="314">
        <f t="shared" ca="1" si="14"/>
        <v>5.3008207141529658E-2</v>
      </c>
      <c r="F130" s="314">
        <f t="shared" ca="1" si="15"/>
        <v>9.1906654568996465E-2</v>
      </c>
      <c r="G130" s="315">
        <f t="shared" ca="1" si="16"/>
        <v>0.17528275745218003</v>
      </c>
      <c r="H130" s="316">
        <v>34.490358731943473</v>
      </c>
    </row>
    <row r="131" spans="3:8" ht="15">
      <c r="C131" s="112">
        <v>67</v>
      </c>
      <c r="D131" s="314">
        <f t="shared" ca="1" si="13"/>
        <v>4.4263395930357066E-2</v>
      </c>
      <c r="E131" s="314">
        <f t="shared" ca="1" si="14"/>
        <v>3.8336158507193532E-2</v>
      </c>
      <c r="F131" s="314">
        <f t="shared" ca="1" si="15"/>
        <v>9.1459800678482597E-2</v>
      </c>
      <c r="G131" s="315">
        <f t="shared" ca="1" si="16"/>
        <v>0.1390442943630219</v>
      </c>
      <c r="H131" s="316">
        <v>53.735549391193693</v>
      </c>
    </row>
    <row r="132" spans="3:8" ht="15">
      <c r="C132" s="112">
        <v>68</v>
      </c>
      <c r="D132" s="314">
        <f t="shared" ca="1" si="13"/>
        <v>6.6939308193108088E-2</v>
      </c>
      <c r="E132" s="314">
        <f t="shared" ca="1" si="14"/>
        <v>5.6752312269459051E-2</v>
      </c>
      <c r="F132" s="314">
        <f t="shared" ca="1" si="15"/>
        <v>9.2904624236309755E-2</v>
      </c>
      <c r="G132" s="315">
        <f t="shared" ca="1" si="16"/>
        <v>0.1782133609216765</v>
      </c>
      <c r="H132" s="316">
        <v>47.311807626110344</v>
      </c>
    </row>
    <row r="133" spans="3:8" ht="15">
      <c r="C133" s="112">
        <v>69</v>
      </c>
      <c r="D133" s="314">
        <f t="shared" ca="1" si="13"/>
        <v>4.2374988432280533E-2</v>
      </c>
      <c r="E133" s="314">
        <f t="shared" ca="1" si="14"/>
        <v>5.9099569210308595E-2</v>
      </c>
      <c r="F133" s="314">
        <f t="shared" ca="1" si="15"/>
        <v>6.5101302080108947E-2</v>
      </c>
      <c r="G133" s="315">
        <f t="shared" ca="1" si="16"/>
        <v>0.14021086874285604</v>
      </c>
      <c r="H133" s="316">
        <v>59.228388006583593</v>
      </c>
    </row>
    <row r="134" spans="3:8" ht="15">
      <c r="C134" s="112">
        <v>70</v>
      </c>
      <c r="D134" s="314">
        <f t="shared" ca="1" si="13"/>
        <v>7.4898008307445169E-2</v>
      </c>
      <c r="E134" s="314">
        <f t="shared" ca="1" si="14"/>
        <v>5.8705840830689172E-2</v>
      </c>
      <c r="F134" s="314">
        <f t="shared" ca="1" si="15"/>
        <v>6.5581271664027246E-2</v>
      </c>
      <c r="G134" s="315">
        <f t="shared" ca="1" si="16"/>
        <v>0.16536233426269109</v>
      </c>
      <c r="H134" s="316">
        <v>69.38569145227892</v>
      </c>
    </row>
    <row r="135" spans="3:8" ht="15">
      <c r="C135" s="112">
        <v>71</v>
      </c>
      <c r="D135" s="314">
        <f t="shared" ca="1" si="13"/>
        <v>7.0862540511219568E-2</v>
      </c>
      <c r="E135" s="314">
        <f t="shared" ca="1" si="14"/>
        <v>5.8065568522448104E-2</v>
      </c>
      <c r="F135" s="314">
        <f t="shared" ca="1" si="15"/>
        <v>7.4678754519474227E-2</v>
      </c>
      <c r="G135" s="315">
        <f t="shared" ca="1" si="16"/>
        <v>0.16860374210918283</v>
      </c>
      <c r="H135" s="316">
        <v>54.44351647154798</v>
      </c>
    </row>
    <row r="136" spans="3:8" ht="15">
      <c r="C136" s="112">
        <v>72</v>
      </c>
      <c r="D136" s="314">
        <f t="shared" ca="1" si="13"/>
        <v>7.4793812950609273E-2</v>
      </c>
      <c r="E136" s="314">
        <f t="shared" ca="1" si="14"/>
        <v>4.8247800443815991E-2</v>
      </c>
      <c r="F136" s="314">
        <f t="shared" ca="1" si="15"/>
        <v>9.5312849282417095E-2</v>
      </c>
      <c r="G136" s="315">
        <f t="shared" ca="1" si="16"/>
        <v>0.17672920744945464</v>
      </c>
      <c r="H136" s="316">
        <v>47.158095175515932</v>
      </c>
    </row>
    <row r="137" spans="3:8" ht="15">
      <c r="C137" s="112">
        <v>73</v>
      </c>
      <c r="D137" s="314">
        <f t="shared" ca="1" si="13"/>
        <v>6.2290513943719525E-2</v>
      </c>
      <c r="E137" s="314">
        <f t="shared" ca="1" si="14"/>
        <v>4.7000667241086251E-2</v>
      </c>
      <c r="F137" s="314">
        <f t="shared" ca="1" si="15"/>
        <v>9.8989779912898299E-2</v>
      </c>
      <c r="G137" s="315">
        <f t="shared" ca="1" si="16"/>
        <v>0.16836647868575128</v>
      </c>
      <c r="H137" s="316">
        <v>47.451430967837176</v>
      </c>
    </row>
    <row r="138" spans="3:8" ht="15">
      <c r="C138" s="112">
        <v>74</v>
      </c>
      <c r="D138" s="314">
        <f t="shared" ca="1" si="13"/>
        <v>5.028635724818574E-2</v>
      </c>
      <c r="E138" s="314">
        <f t="shared" ca="1" si="14"/>
        <v>6.2552011997127177E-2</v>
      </c>
      <c r="F138" s="314">
        <f t="shared" ca="1" si="15"/>
        <v>0.10064036167200906</v>
      </c>
      <c r="G138" s="315">
        <f t="shared" ca="1" si="16"/>
        <v>0.17744418153111674</v>
      </c>
      <c r="H138" s="316">
        <v>54.04961041630969</v>
      </c>
    </row>
    <row r="139" spans="3:8" ht="15">
      <c r="C139" s="112">
        <v>75</v>
      </c>
      <c r="D139" s="314">
        <f t="shared" ca="1" si="13"/>
        <v>4.3193654298189554E-2</v>
      </c>
      <c r="E139" s="314">
        <f t="shared" ca="1" si="14"/>
        <v>4.8201152084455565E-2</v>
      </c>
      <c r="F139" s="314">
        <f t="shared" ca="1" si="15"/>
        <v>9.5112186483197594E-2</v>
      </c>
      <c r="G139" s="315">
        <f t="shared" ca="1" si="16"/>
        <v>0.15179186105968467</v>
      </c>
      <c r="H139" s="316">
        <v>42.670191637476179</v>
      </c>
    </row>
    <row r="140" spans="3:8" ht="15">
      <c r="C140" s="112">
        <v>76</v>
      </c>
      <c r="D140" s="314">
        <f t="shared" ca="1" si="13"/>
        <v>4.7874418328550175E-2</v>
      </c>
      <c r="E140" s="314">
        <f t="shared" ca="1" si="14"/>
        <v>6.407504858247616E-2</v>
      </c>
      <c r="F140" s="314">
        <f t="shared" ca="1" si="15"/>
        <v>9.1937332317794385E-2</v>
      </c>
      <c r="G140" s="315">
        <f t="shared" ca="1" si="16"/>
        <v>0.17050908524021557</v>
      </c>
      <c r="H140" s="316">
        <v>60.832578462071957</v>
      </c>
    </row>
    <row r="141" spans="3:8" ht="15">
      <c r="C141" s="112">
        <v>77</v>
      </c>
      <c r="D141" s="314">
        <f t="shared" ca="1" si="13"/>
        <v>4.4919816067716438E-2</v>
      </c>
      <c r="E141" s="314">
        <f t="shared" ca="1" si="14"/>
        <v>6.656184991293726E-2</v>
      </c>
      <c r="F141" s="314">
        <f t="shared" ca="1" si="15"/>
        <v>6.7703950740214694E-2</v>
      </c>
      <c r="G141" s="315">
        <f t="shared" ca="1" si="16"/>
        <v>0.15223540234814403</v>
      </c>
      <c r="H141" s="316">
        <v>52.799665316188772</v>
      </c>
    </row>
    <row r="142" spans="3:8" ht="15">
      <c r="C142" s="112">
        <v>78</v>
      </c>
      <c r="D142" s="314">
        <f t="shared" ca="1" si="13"/>
        <v>5.8551318375968185E-2</v>
      </c>
      <c r="E142" s="314">
        <f t="shared" ca="1" si="14"/>
        <v>4.2643859326508791E-2</v>
      </c>
      <c r="F142" s="314">
        <f t="shared" ca="1" si="15"/>
        <v>9.3788445557950476E-2</v>
      </c>
      <c r="G142" s="315">
        <f t="shared" ca="1" si="16"/>
        <v>0.15663469337657432</v>
      </c>
      <c r="H142" s="316">
        <v>62.183638420982042</v>
      </c>
    </row>
    <row r="143" spans="3:8" ht="15">
      <c r="C143" s="112">
        <v>79</v>
      </c>
      <c r="D143" s="314">
        <f t="shared" ca="1" si="13"/>
        <v>4.2143706850005097E-2</v>
      </c>
      <c r="E143" s="314">
        <f t="shared" ca="1" si="14"/>
        <v>4.9956802004501852E-2</v>
      </c>
      <c r="F143" s="314">
        <f t="shared" ca="1" si="15"/>
        <v>9.6945112745525613E-2</v>
      </c>
      <c r="G143" s="315">
        <f t="shared" ca="1" si="16"/>
        <v>0.15428484686496735</v>
      </c>
      <c r="H143" s="316">
        <v>47.747666851902885</v>
      </c>
    </row>
    <row r="144" spans="3:8" ht="15">
      <c r="C144" s="112">
        <v>80</v>
      </c>
      <c r="D144" s="314">
        <f t="shared" ca="1" si="13"/>
        <v>5.3429578719823428E-2</v>
      </c>
      <c r="E144" s="314">
        <f t="shared" ca="1" si="14"/>
        <v>5.6444292175382084E-2</v>
      </c>
      <c r="F144" s="314">
        <f t="shared" ca="1" si="15"/>
        <v>9.8254004353283575E-2</v>
      </c>
      <c r="G144" s="315">
        <f t="shared" ca="1" si="16"/>
        <v>0.17133350320909502</v>
      </c>
      <c r="H144" s="316">
        <v>81.09720069008344</v>
      </c>
    </row>
    <row r="145" spans="3:8" ht="15">
      <c r="C145" s="112">
        <v>81</v>
      </c>
      <c r="D145" s="314">
        <f t="shared" ca="1" si="13"/>
        <v>6.7803519628230294E-2</v>
      </c>
      <c r="E145" s="314">
        <f t="shared" ca="1" si="14"/>
        <v>4.2982978380734005E-2</v>
      </c>
      <c r="F145" s="314">
        <f t="shared" ca="1" si="15"/>
        <v>8.8195619240803533E-2</v>
      </c>
      <c r="G145" s="315">
        <f t="shared" ca="1" si="16"/>
        <v>0.15993222604762569</v>
      </c>
      <c r="H145" s="316">
        <v>58.210914140614094</v>
      </c>
    </row>
    <row r="146" spans="3:8" ht="15">
      <c r="C146" s="112">
        <v>82</v>
      </c>
      <c r="D146" s="314">
        <f t="shared" ca="1" si="13"/>
        <v>4.0709605148797963E-2</v>
      </c>
      <c r="E146" s="314">
        <f t="shared" ca="1" si="14"/>
        <v>5.5685738407852479E-2</v>
      </c>
      <c r="F146" s="314">
        <f t="shared" ca="1" si="15"/>
        <v>6.2033116118378043E-2</v>
      </c>
      <c r="G146" s="315">
        <f t="shared" ca="1" si="16"/>
        <v>0.13291688125681</v>
      </c>
      <c r="H146" s="316">
        <v>50.146772456596153</v>
      </c>
    </row>
    <row r="147" spans="3:8" ht="15">
      <c r="C147" s="112">
        <v>83</v>
      </c>
      <c r="D147" s="314">
        <f t="shared" ca="1" si="13"/>
        <v>7.2900151165943144E-2</v>
      </c>
      <c r="E147" s="314">
        <f t="shared" ca="1" si="14"/>
        <v>5.9793101440925325E-2</v>
      </c>
      <c r="F147" s="314">
        <f t="shared" ca="1" si="15"/>
        <v>6.2092360674936072E-2</v>
      </c>
      <c r="G147" s="315">
        <f t="shared" ca="1" si="16"/>
        <v>0.16228862165914881</v>
      </c>
      <c r="H147" s="316">
        <v>75.414428427973817</v>
      </c>
    </row>
    <row r="148" spans="3:8" ht="15">
      <c r="C148" s="112">
        <v>84</v>
      </c>
      <c r="D148" s="314">
        <f t="shared" ca="1" si="13"/>
        <v>5.7490684305497322E-2</v>
      </c>
      <c r="E148" s="314">
        <f t="shared" ca="1" si="14"/>
        <v>6.7468170693684937E-2</v>
      </c>
      <c r="F148" s="314">
        <f t="shared" ca="1" si="15"/>
        <v>6.0989311564840262E-2</v>
      </c>
      <c r="G148" s="315">
        <f t="shared" ca="1" si="16"/>
        <v>0.15783372002605289</v>
      </c>
      <c r="H148" s="316">
        <v>81.288023970710213</v>
      </c>
    </row>
    <row r="149" spans="3:8" ht="15">
      <c r="C149" s="112">
        <v>85</v>
      </c>
      <c r="D149" s="314">
        <f t="shared" ca="1" si="13"/>
        <v>5.8684695029514823E-2</v>
      </c>
      <c r="E149" s="314">
        <f t="shared" ca="1" si="14"/>
        <v>5.1488849031121567E-2</v>
      </c>
      <c r="F149" s="314">
        <f t="shared" ca="1" si="15"/>
        <v>8.1373187874972552E-2</v>
      </c>
      <c r="G149" s="315">
        <f t="shared" ca="1" si="16"/>
        <v>0.15703776738124287</v>
      </c>
      <c r="H149" s="316">
        <v>54.293443778843205</v>
      </c>
    </row>
    <row r="150" spans="3:8" ht="15">
      <c r="C150" s="112">
        <v>86</v>
      </c>
      <c r="D150" s="314">
        <f t="shared" ca="1" si="13"/>
        <v>4.9550509929233252E-2</v>
      </c>
      <c r="E150" s="314">
        <f t="shared" ca="1" si="14"/>
        <v>6.6769577518472165E-2</v>
      </c>
      <c r="F150" s="314">
        <f t="shared" ca="1" si="15"/>
        <v>5.6440564412537357E-2</v>
      </c>
      <c r="G150" s="315">
        <f t="shared" ca="1" si="16"/>
        <v>0.14737907636635739</v>
      </c>
      <c r="H150" s="316">
        <v>80.416634868725666</v>
      </c>
    </row>
    <row r="151" spans="3:8" ht="15">
      <c r="C151" s="112">
        <v>87</v>
      </c>
      <c r="D151" s="314">
        <f t="shared" ca="1" si="13"/>
        <v>6.4813956111739249E-2</v>
      </c>
      <c r="E151" s="314">
        <f t="shared" ca="1" si="14"/>
        <v>5.9606062280730496E-2</v>
      </c>
      <c r="F151" s="314">
        <f t="shared" ca="1" si="15"/>
        <v>9.051621460262442E-2</v>
      </c>
      <c r="G151" s="315">
        <f t="shared" ca="1" si="16"/>
        <v>0.1778642544439637</v>
      </c>
      <c r="H151" s="316">
        <v>49.059868323231235</v>
      </c>
    </row>
    <row r="152" spans="3:8" ht="15">
      <c r="C152" s="112">
        <v>88</v>
      </c>
      <c r="D152" s="314">
        <f t="shared" ca="1" si="13"/>
        <v>5.9199573609292969E-2</v>
      </c>
      <c r="E152" s="314">
        <f t="shared" ca="1" si="14"/>
        <v>4.224387072484783E-2</v>
      </c>
      <c r="F152" s="314">
        <f t="shared" ca="1" si="15"/>
        <v>0.10352083223667886</v>
      </c>
      <c r="G152" s="315">
        <f t="shared" ca="1" si="16"/>
        <v>0.16408967791224738</v>
      </c>
      <c r="H152" s="316">
        <v>49.008799597062335</v>
      </c>
    </row>
    <row r="153" spans="3:8" ht="15">
      <c r="C153" s="112">
        <v>89</v>
      </c>
      <c r="D153" s="314">
        <f t="shared" ca="1" si="13"/>
        <v>7.2170311692511549E-2</v>
      </c>
      <c r="E153" s="314">
        <f t="shared" ca="1" si="14"/>
        <v>4.7925230323694182E-2</v>
      </c>
      <c r="F153" s="314">
        <f t="shared" ca="1" si="15"/>
        <v>6.7175068299488078E-2</v>
      </c>
      <c r="G153" s="315">
        <f t="shared" ca="1" si="16"/>
        <v>0.15263109868633618</v>
      </c>
      <c r="H153" s="316">
        <v>63.662344011395689</v>
      </c>
    </row>
    <row r="154" spans="3:8" ht="15">
      <c r="C154" s="112">
        <v>90</v>
      </c>
      <c r="D154" s="314">
        <f t="shared" ca="1" si="13"/>
        <v>4.3144053155199202E-2</v>
      </c>
      <c r="E154" s="314">
        <f t="shared" ca="1" si="14"/>
        <v>5.3976470813482648E-2</v>
      </c>
      <c r="F154" s="314">
        <f t="shared" ca="1" si="15"/>
        <v>5.8637736720208292E-2</v>
      </c>
      <c r="G154" s="315">
        <f t="shared" ca="1" si="16"/>
        <v>0.13037594629511418</v>
      </c>
      <c r="H154" s="316">
        <v>41.91371417623801</v>
      </c>
    </row>
    <row r="155" spans="3:8" ht="15">
      <c r="C155" s="112">
        <v>91</v>
      </c>
      <c r="D155" s="314">
        <f t="shared" ca="1" si="13"/>
        <v>6.6609296583276661E-2</v>
      </c>
      <c r="E155" s="314">
        <f t="shared" ca="1" si="14"/>
        <v>5.1655300867612018E-2</v>
      </c>
      <c r="F155" s="314">
        <f t="shared" ca="1" si="15"/>
        <v>6.5419325689835078E-2</v>
      </c>
      <c r="G155" s="315">
        <f t="shared" ca="1" si="16"/>
        <v>0.15109480748403259</v>
      </c>
      <c r="H155" s="316">
        <v>41.676075592458211</v>
      </c>
    </row>
    <row r="156" spans="3:8" ht="15">
      <c r="C156" s="112">
        <v>92</v>
      </c>
      <c r="D156" s="314">
        <f t="shared" ca="1" si="13"/>
        <v>6.4865966403005293E-2</v>
      </c>
      <c r="E156" s="314">
        <f t="shared" ca="1" si="14"/>
        <v>6.1757463188239499E-2</v>
      </c>
      <c r="F156" s="314">
        <f t="shared" ca="1" si="15"/>
        <v>0.10207728717718646</v>
      </c>
      <c r="G156" s="315">
        <f t="shared" ca="1" si="16"/>
        <v>0.18927956196804141</v>
      </c>
      <c r="H156" s="316">
        <v>66.467126415980147</v>
      </c>
    </row>
    <row r="157" spans="3:8" ht="15">
      <c r="C157" s="112">
        <v>93</v>
      </c>
      <c r="D157" s="314">
        <f t="shared" ca="1" si="13"/>
        <v>4.9856353151461572E-2</v>
      </c>
      <c r="E157" s="314">
        <f t="shared" ca="1" si="14"/>
        <v>6.2608543244642725E-2</v>
      </c>
      <c r="F157" s="314">
        <f t="shared" ca="1" si="15"/>
        <v>8.3572217017671743E-2</v>
      </c>
      <c r="G157" s="315">
        <f t="shared" ca="1" si="16"/>
        <v>0.16402564108346152</v>
      </c>
      <c r="H157" s="316">
        <v>51.365283906725736</v>
      </c>
    </row>
    <row r="158" spans="3:8" ht="15">
      <c r="C158" s="112">
        <v>94</v>
      </c>
      <c r="D158" s="314">
        <f t="shared" ca="1" si="13"/>
        <v>5.9026519917764461E-2</v>
      </c>
      <c r="E158" s="314">
        <f t="shared" ca="1" si="14"/>
        <v>3.9515666109035036E-2</v>
      </c>
      <c r="F158" s="314">
        <f t="shared" ca="1" si="15"/>
        <v>8.028797459995729E-2</v>
      </c>
      <c r="G158" s="315">
        <f t="shared" ca="1" si="16"/>
        <v>0.1433033165164781</v>
      </c>
      <c r="H158" s="316">
        <v>57.700410718801329</v>
      </c>
    </row>
    <row r="159" spans="3:8" ht="15">
      <c r="C159" s="112">
        <v>95</v>
      </c>
      <c r="D159" s="314">
        <f t="shared" ca="1" si="13"/>
        <v>6.9127270509996605E-2</v>
      </c>
      <c r="E159" s="314">
        <f t="shared" ca="1" si="14"/>
        <v>4.0007966951287E-2</v>
      </c>
      <c r="F159" s="314">
        <f t="shared" ca="1" si="15"/>
        <v>9.299668549515952E-2</v>
      </c>
      <c r="G159" s="315">
        <f t="shared" ca="1" si="16"/>
        <v>0.16131115430755028</v>
      </c>
      <c r="H159" s="316">
        <v>40.338573177110334</v>
      </c>
    </row>
    <row r="160" spans="3:8" ht="15">
      <c r="C160" s="112">
        <v>96</v>
      </c>
      <c r="D160" s="314">
        <f t="shared" ca="1" si="13"/>
        <v>7.2622477788985063E-2</v>
      </c>
      <c r="E160" s="314">
        <f t="shared" ca="1" si="14"/>
        <v>6.4603387600520937E-2</v>
      </c>
      <c r="F160" s="314">
        <f t="shared" ca="1" si="15"/>
        <v>7.8767258941032231E-2</v>
      </c>
      <c r="G160" s="315">
        <f t="shared" ca="1" si="16"/>
        <v>0.18040641925437262</v>
      </c>
      <c r="H160" s="316">
        <v>48.608312421827726</v>
      </c>
    </row>
    <row r="161" spans="3:8" ht="15">
      <c r="C161" s="112">
        <v>97</v>
      </c>
      <c r="D161" s="314">
        <f t="shared" ca="1" si="13"/>
        <v>6.2746923095386584E-2</v>
      </c>
      <c r="E161" s="314">
        <f t="shared" ca="1" si="14"/>
        <v>6.0201482101924969E-2</v>
      </c>
      <c r="F161" s="314">
        <f t="shared" ref="F161:F192" ca="1" si="17">$I$18+($I$30-$I$18)*RAND()</f>
        <v>9.651823247357455E-2</v>
      </c>
      <c r="G161" s="315">
        <f t="shared" ca="1" si="16"/>
        <v>0.18154488956098724</v>
      </c>
      <c r="H161" s="316">
        <v>45.431149271048369</v>
      </c>
    </row>
    <row r="162" spans="3:8" ht="15">
      <c r="C162" s="112">
        <v>98</v>
      </c>
      <c r="D162" s="314">
        <f t="shared" ca="1" si="13"/>
        <v>5.4086675309848599E-2</v>
      </c>
      <c r="E162" s="314">
        <f t="shared" ca="1" si="14"/>
        <v>4.5043174161800467E-2</v>
      </c>
      <c r="F162" s="314">
        <f t="shared" ca="1" si="17"/>
        <v>9.7077024910518159E-2</v>
      </c>
      <c r="G162" s="315">
        <f t="shared" ca="1" si="16"/>
        <v>0.15831265658108284</v>
      </c>
      <c r="H162" s="316">
        <v>56.647775748597034</v>
      </c>
    </row>
    <row r="163" spans="3:8" ht="15">
      <c r="C163" s="112">
        <v>99</v>
      </c>
      <c r="D163" s="314">
        <f t="shared" ca="1" si="13"/>
        <v>7.1355845021752656E-2</v>
      </c>
      <c r="E163" s="314">
        <f t="shared" ca="1" si="14"/>
        <v>5.9852420884548681E-2</v>
      </c>
      <c r="F163" s="314">
        <f t="shared" ca="1" si="17"/>
        <v>8.5532400625896232E-2</v>
      </c>
      <c r="G163" s="315">
        <f t="shared" ca="1" si="16"/>
        <v>0.17941687156124009</v>
      </c>
      <c r="H163" s="316">
        <v>37.969335919225031</v>
      </c>
    </row>
    <row r="164" spans="3:8" ht="15">
      <c r="C164" s="112">
        <v>100</v>
      </c>
      <c r="D164" s="314">
        <f t="shared" ca="1" si="13"/>
        <v>4.2832154810611395E-2</v>
      </c>
      <c r="E164" s="314">
        <f t="shared" ca="1" si="14"/>
        <v>5.4555216682662624E-2</v>
      </c>
      <c r="F164" s="314">
        <f t="shared" ca="1" si="17"/>
        <v>9.3194647699620006E-2</v>
      </c>
      <c r="G164" s="315">
        <f t="shared" ca="1" si="16"/>
        <v>0.15703131221870148</v>
      </c>
      <c r="H164" s="316">
        <v>61.607124488937501</v>
      </c>
    </row>
    <row r="165" spans="3:8" ht="15">
      <c r="C165" s="112">
        <v>101</v>
      </c>
      <c r="D165" s="314">
        <f t="shared" ca="1" si="13"/>
        <v>5.9376670156156913E-2</v>
      </c>
      <c r="E165" s="314">
        <f t="shared" ca="1" si="14"/>
        <v>5.4924628152930074E-2</v>
      </c>
      <c r="F165" s="314">
        <f t="shared" ca="1" si="17"/>
        <v>7.5046883873942066E-2</v>
      </c>
      <c r="G165" s="315">
        <f t="shared" ca="1" si="16"/>
        <v>0.15649271281940669</v>
      </c>
      <c r="H165" s="316">
        <v>64.104876000466291</v>
      </c>
    </row>
    <row r="166" spans="3:8" ht="15">
      <c r="C166" s="112">
        <v>102</v>
      </c>
      <c r="D166" s="314">
        <f t="shared" ca="1" si="13"/>
        <v>5.9699049695635428E-2</v>
      </c>
      <c r="E166" s="314">
        <f t="shared" ca="1" si="14"/>
        <v>4.3644971130849128E-2</v>
      </c>
      <c r="F166" s="314">
        <f t="shared" ca="1" si="17"/>
        <v>8.7662925163601746E-2</v>
      </c>
      <c r="G166" s="315">
        <f t="shared" ca="1" si="16"/>
        <v>0.15397676419622641</v>
      </c>
      <c r="H166" s="316">
        <v>54.571903954382698</v>
      </c>
    </row>
    <row r="167" spans="3:8" ht="15">
      <c r="C167" s="112">
        <v>103</v>
      </c>
      <c r="D167" s="314">
        <f t="shared" ca="1" si="13"/>
        <v>5.7233848851099903E-2</v>
      </c>
      <c r="E167" s="314">
        <f t="shared" ca="1" si="14"/>
        <v>4.3469757802493847E-2</v>
      </c>
      <c r="F167" s="314">
        <f t="shared" ca="1" si="17"/>
        <v>8.2635913606056294E-2</v>
      </c>
      <c r="G167" s="315">
        <f t="shared" ca="1" si="16"/>
        <v>0.14805289551981438</v>
      </c>
      <c r="H167" s="316">
        <v>69.32198996209479</v>
      </c>
    </row>
    <row r="168" spans="3:8" ht="15">
      <c r="C168" s="112">
        <v>104</v>
      </c>
      <c r="D168" s="314">
        <f t="shared" ca="1" si="13"/>
        <v>5.8078899916262375E-2</v>
      </c>
      <c r="E168" s="314">
        <f t="shared" ca="1" si="14"/>
        <v>5.0945294602326677E-2</v>
      </c>
      <c r="F168" s="314">
        <f t="shared" ca="1" si="17"/>
        <v>6.1528746839876247E-2</v>
      </c>
      <c r="G168" s="315">
        <f t="shared" ca="1" si="16"/>
        <v>0.1407762923601108</v>
      </c>
      <c r="H168" s="316">
        <v>44.578763904521196</v>
      </c>
    </row>
    <row r="169" spans="3:8" ht="15">
      <c r="C169" s="112">
        <v>105</v>
      </c>
      <c r="D169" s="314">
        <f t="shared" ca="1" si="13"/>
        <v>6.2228665374790715E-2</v>
      </c>
      <c r="E169" s="314">
        <f t="shared" ca="1" si="14"/>
        <v>5.5837266168178308E-2</v>
      </c>
      <c r="F169" s="314">
        <f t="shared" ca="1" si="17"/>
        <v>0.1028117943353646</v>
      </c>
      <c r="G169" s="315">
        <f t="shared" ca="1" si="16"/>
        <v>0.18112636217407041</v>
      </c>
      <c r="H169" s="316">
        <v>67.979516429985821</v>
      </c>
    </row>
    <row r="170" spans="3:8" ht="15">
      <c r="C170" s="112">
        <v>106</v>
      </c>
      <c r="D170" s="314">
        <f t="shared" ca="1" si="13"/>
        <v>5.7383811431013898E-2</v>
      </c>
      <c r="E170" s="314">
        <f t="shared" ca="1" si="14"/>
        <v>3.8083569634310109E-2</v>
      </c>
      <c r="F170" s="314">
        <f t="shared" ca="1" si="17"/>
        <v>7.0424544026555846E-2</v>
      </c>
      <c r="G170" s="315">
        <f t="shared" ca="1" si="16"/>
        <v>0.13301221259194529</v>
      </c>
      <c r="H170" s="316">
        <v>43.044351521873985</v>
      </c>
    </row>
    <row r="171" spans="3:8" ht="15">
      <c r="C171" s="112">
        <v>107</v>
      </c>
      <c r="D171" s="314">
        <f t="shared" ca="1" si="13"/>
        <v>7.2503503877511699E-2</v>
      </c>
      <c r="E171" s="314">
        <f t="shared" ca="1" si="14"/>
        <v>6.5845443966193559E-2</v>
      </c>
      <c r="F171" s="314">
        <f t="shared" ca="1" si="17"/>
        <v>9.5595921173559917E-2</v>
      </c>
      <c r="G171" s="315">
        <f t="shared" ca="1" si="16"/>
        <v>0.19488288252577579</v>
      </c>
      <c r="H171" s="316">
        <v>56.674189648977688</v>
      </c>
    </row>
    <row r="172" spans="3:8" ht="15">
      <c r="C172" s="112">
        <v>108</v>
      </c>
      <c r="D172" s="314">
        <f t="shared" ca="1" si="13"/>
        <v>6.9734247712663469E-2</v>
      </c>
      <c r="E172" s="314">
        <f t="shared" ca="1" si="14"/>
        <v>4.2167936718879202E-2</v>
      </c>
      <c r="F172" s="314">
        <f t="shared" ca="1" si="17"/>
        <v>8.2112716233193869E-2</v>
      </c>
      <c r="G172" s="315">
        <f t="shared" ca="1" si="16"/>
        <v>0.15586704994177203</v>
      </c>
      <c r="H172" s="316">
        <v>81.424461859238761</v>
      </c>
    </row>
    <row r="173" spans="3:8" ht="15">
      <c r="C173" s="112">
        <v>109</v>
      </c>
      <c r="D173" s="314">
        <f t="shared" ca="1" si="13"/>
        <v>4.9715506495568364E-2</v>
      </c>
      <c r="E173" s="314">
        <f t="shared" ca="1" si="14"/>
        <v>3.9441786965530509E-2</v>
      </c>
      <c r="F173" s="314">
        <f t="shared" ca="1" si="17"/>
        <v>9.0632105453314141E-2</v>
      </c>
      <c r="G173" s="315">
        <f t="shared" ca="1" si="16"/>
        <v>0.14385494170148894</v>
      </c>
      <c r="H173" s="316">
        <v>40.56152307925003</v>
      </c>
    </row>
    <row r="174" spans="3:8" ht="15">
      <c r="C174" s="112">
        <v>110</v>
      </c>
      <c r="D174" s="314">
        <f t="shared" ca="1" si="13"/>
        <v>5.9915300485853362E-2</v>
      </c>
      <c r="E174" s="314">
        <f t="shared" ca="1" si="14"/>
        <v>6.1768373891825289E-2</v>
      </c>
      <c r="F174" s="314">
        <f t="shared" ca="1" si="17"/>
        <v>9.0719733319094331E-2</v>
      </c>
      <c r="G174" s="315">
        <f t="shared" ca="1" si="16"/>
        <v>0.17655394293852344</v>
      </c>
      <c r="H174" s="316">
        <v>68.796500684117419</v>
      </c>
    </row>
    <row r="175" spans="3:8" ht="15">
      <c r="C175" s="112">
        <v>111</v>
      </c>
      <c r="D175" s="314">
        <f t="shared" ca="1" si="13"/>
        <v>5.5334062649260933E-2</v>
      </c>
      <c r="E175" s="314">
        <f t="shared" ca="1" si="14"/>
        <v>4.4473262433981926E-2</v>
      </c>
      <c r="F175" s="314">
        <f t="shared" ca="1" si="17"/>
        <v>7.7418364600016193E-2</v>
      </c>
      <c r="G175" s="315">
        <f t="shared" ca="1" si="16"/>
        <v>0.14372516629374887</v>
      </c>
      <c r="H175" s="316">
        <v>86.560707291073854</v>
      </c>
    </row>
    <row r="176" spans="3:8" ht="15">
      <c r="C176" s="112">
        <v>112</v>
      </c>
      <c r="D176" s="314">
        <f t="shared" ca="1" si="13"/>
        <v>6.0423634106803854E-2</v>
      </c>
      <c r="E176" s="314">
        <f t="shared" ca="1" si="14"/>
        <v>4.6861420963754105E-2</v>
      </c>
      <c r="F176" s="314">
        <f t="shared" ca="1" si="17"/>
        <v>7.3818813954234425E-2</v>
      </c>
      <c r="G176" s="315">
        <f t="shared" ca="1" si="16"/>
        <v>0.14752270556485447</v>
      </c>
      <c r="H176" s="316">
        <v>56.725288120589269</v>
      </c>
    </row>
    <row r="177" spans="3:8" ht="15">
      <c r="C177" s="112">
        <v>113</v>
      </c>
      <c r="D177" s="314">
        <f t="shared" ca="1" si="13"/>
        <v>6.877495706896139E-2</v>
      </c>
      <c r="E177" s="314">
        <f t="shared" ca="1" si="14"/>
        <v>6.2638201366706572E-2</v>
      </c>
      <c r="F177" s="314">
        <f t="shared" ca="1" si="17"/>
        <v>7.4524479579442471E-2</v>
      </c>
      <c r="G177" s="315">
        <f t="shared" ca="1" si="16"/>
        <v>0.17189978807071471</v>
      </c>
      <c r="H177" s="316">
        <v>74.418396717710422</v>
      </c>
    </row>
    <row r="178" spans="3:8" ht="15">
      <c r="C178" s="112">
        <v>114</v>
      </c>
      <c r="D178" s="314">
        <f t="shared" ca="1" si="13"/>
        <v>4.3648411876687963E-2</v>
      </c>
      <c r="E178" s="314">
        <f t="shared" ca="1" si="14"/>
        <v>4.1408743447922378E-2</v>
      </c>
      <c r="F178" s="314">
        <f t="shared" ca="1" si="17"/>
        <v>7.7939075673909411E-2</v>
      </c>
      <c r="G178" s="315">
        <f t="shared" ca="1" si="16"/>
        <v>0.13178029941820091</v>
      </c>
      <c r="H178" s="316">
        <v>76.509846608443794</v>
      </c>
    </row>
    <row r="179" spans="3:8" ht="15">
      <c r="C179" s="112">
        <v>115</v>
      </c>
      <c r="D179" s="314">
        <f t="shared" ca="1" si="13"/>
        <v>4.7242265497663839E-2</v>
      </c>
      <c r="E179" s="314">
        <f t="shared" ca="1" si="14"/>
        <v>5.6055824511256069E-2</v>
      </c>
      <c r="F179" s="314">
        <f t="shared" ca="1" si="17"/>
        <v>7.7667070875987398E-2</v>
      </c>
      <c r="G179" s="315">
        <f t="shared" ca="1" si="16"/>
        <v>0.15029236191495765</v>
      </c>
      <c r="H179" s="316">
        <v>64.781391748642733</v>
      </c>
    </row>
    <row r="180" spans="3:8" ht="15">
      <c r="C180" s="112">
        <v>116</v>
      </c>
      <c r="D180" s="314">
        <f t="shared" ca="1" si="13"/>
        <v>4.2088716939244868E-2</v>
      </c>
      <c r="E180" s="314">
        <f t="shared" ca="1" si="14"/>
        <v>5.5036833250854997E-2</v>
      </c>
      <c r="F180" s="314">
        <f t="shared" ca="1" si="17"/>
        <v>9.4781340583645887E-2</v>
      </c>
      <c r="G180" s="315">
        <f t="shared" ca="1" si="16"/>
        <v>0.15818120156010296</v>
      </c>
      <c r="H180" s="316">
        <v>69.739584647816315</v>
      </c>
    </row>
    <row r="181" spans="3:8" ht="15">
      <c r="C181" s="112">
        <v>117</v>
      </c>
      <c r="D181" s="314">
        <f t="shared" ca="1" si="13"/>
        <v>5.8495131493939645E-2</v>
      </c>
      <c r="E181" s="314">
        <f t="shared" ca="1" si="14"/>
        <v>4.0906917449595903E-2</v>
      </c>
      <c r="F181" s="314">
        <f t="shared" ca="1" si="17"/>
        <v>9.6784853430586945E-2</v>
      </c>
      <c r="G181" s="315">
        <f t="shared" ca="1" si="16"/>
        <v>0.1569369118643813</v>
      </c>
      <c r="H181" s="316">
        <v>56.588076457075161</v>
      </c>
    </row>
    <row r="182" spans="3:8" ht="15">
      <c r="C182" s="112">
        <v>118</v>
      </c>
      <c r="D182" s="314">
        <f t="shared" ca="1" si="13"/>
        <v>6.4160219047845995E-2</v>
      </c>
      <c r="E182" s="314">
        <f t="shared" ca="1" si="14"/>
        <v>6.4833754756584414E-2</v>
      </c>
      <c r="F182" s="314">
        <f t="shared" ca="1" si="17"/>
        <v>9.4819390776615317E-2</v>
      </c>
      <c r="G182" s="315">
        <f t="shared" ca="1" si="16"/>
        <v>0.18650880140378456</v>
      </c>
      <c r="H182" s="316">
        <v>51.207982060049218</v>
      </c>
    </row>
    <row r="183" spans="3:8" ht="15">
      <c r="C183" s="112">
        <v>119</v>
      </c>
      <c r="D183" s="314">
        <f t="shared" ca="1" si="13"/>
        <v>4.8180582483785067E-2</v>
      </c>
      <c r="E183" s="314">
        <f t="shared" ca="1" si="14"/>
        <v>5.9146144636104597E-2</v>
      </c>
      <c r="F183" s="314">
        <f t="shared" ca="1" si="17"/>
        <v>5.9428661348942001E-2</v>
      </c>
      <c r="G183" s="315">
        <f t="shared" ca="1" si="16"/>
        <v>0.14041388959811529</v>
      </c>
      <c r="H183" s="316">
        <v>42.424337455462698</v>
      </c>
    </row>
    <row r="184" spans="3:8" ht="15">
      <c r="C184" s="112">
        <v>120</v>
      </c>
      <c r="D184" s="314">
        <f t="shared" ca="1" si="13"/>
        <v>5.1711343759863596E-2</v>
      </c>
      <c r="E184" s="314">
        <f t="shared" ca="1" si="14"/>
        <v>5.0523060562765412E-2</v>
      </c>
      <c r="F184" s="314">
        <f t="shared" ca="1" si="17"/>
        <v>8.4367254864917668E-2</v>
      </c>
      <c r="G184" s="315">
        <f t="shared" ca="1" si="16"/>
        <v>0.15283640471466087</v>
      </c>
      <c r="H184" s="316">
        <v>74.68809949128476</v>
      </c>
    </row>
    <row r="185" spans="3:8" ht="15">
      <c r="C185" s="112">
        <v>121</v>
      </c>
      <c r="D185" s="314">
        <f t="shared" ca="1" si="13"/>
        <v>6.5043711733967238E-2</v>
      </c>
      <c r="E185" s="314">
        <f t="shared" ca="1" si="14"/>
        <v>4.6241134098321895E-2</v>
      </c>
      <c r="F185" s="314">
        <f t="shared" ca="1" si="17"/>
        <v>9.2110875534033687E-2</v>
      </c>
      <c r="G185" s="315">
        <f t="shared" ca="1" si="16"/>
        <v>0.16440770420782314</v>
      </c>
      <c r="H185" s="316">
        <v>64.514029455866634</v>
      </c>
    </row>
    <row r="186" spans="3:8" ht="15">
      <c r="C186" s="112">
        <v>122</v>
      </c>
      <c r="D186" s="314">
        <f t="shared" ca="1" si="13"/>
        <v>7.3484388624804498E-2</v>
      </c>
      <c r="E186" s="314">
        <f t="shared" ca="1" si="14"/>
        <v>6.0234860003307161E-2</v>
      </c>
      <c r="F186" s="314">
        <f t="shared" ca="1" si="17"/>
        <v>7.84405269567542E-2</v>
      </c>
      <c r="G186" s="315">
        <f t="shared" ca="1" si="16"/>
        <v>0.17598268914633608</v>
      </c>
      <c r="H186" s="316">
        <v>63.452943358025713</v>
      </c>
    </row>
    <row r="187" spans="3:8" ht="15">
      <c r="C187" s="112">
        <v>123</v>
      </c>
      <c r="D187" s="314">
        <f t="shared" ca="1" si="13"/>
        <v>4.7021602074298771E-2</v>
      </c>
      <c r="E187" s="314">
        <f t="shared" ca="1" si="14"/>
        <v>5.2440744072633341E-2</v>
      </c>
      <c r="F187" s="314">
        <f t="shared" ca="1" si="17"/>
        <v>9.4338287813279229E-2</v>
      </c>
      <c r="G187" s="315">
        <f t="shared" ca="1" si="16"/>
        <v>0.15886937449116045</v>
      </c>
      <c r="H187" s="316">
        <v>45.567096546157117</v>
      </c>
    </row>
    <row r="188" spans="3:8" ht="15">
      <c r="C188" s="112">
        <v>124</v>
      </c>
      <c r="D188" s="314">
        <f t="shared" ca="1" si="13"/>
        <v>6.9300153928288297E-2</v>
      </c>
      <c r="E188" s="314">
        <f t="shared" ca="1" si="14"/>
        <v>3.9255907655562389E-2</v>
      </c>
      <c r="F188" s="314">
        <f t="shared" ca="1" si="17"/>
        <v>9.2525371027110642E-2</v>
      </c>
      <c r="G188" s="315">
        <f t="shared" ca="1" si="16"/>
        <v>0.16024582941486099</v>
      </c>
      <c r="H188" s="316">
        <v>36.688809593416451</v>
      </c>
    </row>
    <row r="189" spans="3:8" ht="15">
      <c r="C189" s="112">
        <v>125</v>
      </c>
      <c r="D189" s="314">
        <f t="shared" ca="1" si="13"/>
        <v>6.280574937943656E-2</v>
      </c>
      <c r="E189" s="314">
        <f t="shared" ca="1" si="14"/>
        <v>5.1688670607002163E-2</v>
      </c>
      <c r="F189" s="314">
        <f t="shared" ca="1" si="17"/>
        <v>5.9124213469536231E-2</v>
      </c>
      <c r="G189" s="315">
        <f t="shared" ca="1" si="16"/>
        <v>0.14336490928492296</v>
      </c>
      <c r="H189" s="316">
        <v>105.75198642898233</v>
      </c>
    </row>
    <row r="190" spans="3:8" ht="15">
      <c r="C190" s="112">
        <v>126</v>
      </c>
      <c r="D190" s="314">
        <f t="shared" ca="1" si="13"/>
        <v>4.1160201525404748E-2</v>
      </c>
      <c r="E190" s="314">
        <f t="shared" ca="1" si="14"/>
        <v>5.7673255073631913E-2</v>
      </c>
      <c r="F190" s="314">
        <f t="shared" ca="1" si="17"/>
        <v>6.4333208643739787E-2</v>
      </c>
      <c r="G190" s="315">
        <f t="shared" ca="1" si="16"/>
        <v>0.13714988157014862</v>
      </c>
      <c r="H190" s="316">
        <v>35.88094251516884</v>
      </c>
    </row>
    <row r="191" spans="3:8" ht="15">
      <c r="C191" s="112">
        <v>127</v>
      </c>
      <c r="D191" s="314">
        <f t="shared" ca="1" si="13"/>
        <v>5.9683794136755591E-2</v>
      </c>
      <c r="E191" s="314">
        <f t="shared" ca="1" si="14"/>
        <v>5.5551500127410829E-2</v>
      </c>
      <c r="F191" s="314">
        <f t="shared" ca="1" si="17"/>
        <v>6.7587172188983358E-2</v>
      </c>
      <c r="G191" s="315">
        <f t="shared" ca="1" si="16"/>
        <v>0.15167663516044727</v>
      </c>
      <c r="H191" s="316">
        <v>32.244183216479748</v>
      </c>
    </row>
    <row r="192" spans="3:8" ht="15">
      <c r="C192" s="112">
        <v>128</v>
      </c>
      <c r="D192" s="314">
        <f t="shared" ca="1" si="13"/>
        <v>4.6025031216884935E-2</v>
      </c>
      <c r="E192" s="314">
        <f t="shared" ca="1" si="14"/>
        <v>5.2456798838722382E-2</v>
      </c>
      <c r="F192" s="314">
        <f t="shared" ca="1" si="17"/>
        <v>6.0453359123835392E-2</v>
      </c>
      <c r="G192" s="315">
        <f t="shared" ca="1" si="16"/>
        <v>0.13233641063356982</v>
      </c>
      <c r="H192" s="316">
        <v>61.816071145076748</v>
      </c>
    </row>
    <row r="193" spans="3:8" ht="15">
      <c r="C193" s="112">
        <v>129</v>
      </c>
      <c r="D193" s="314">
        <f t="shared" ref="D193:D214" ca="1" si="18">$C$18+($C$30-$C$18)*RAND()</f>
        <v>5.3533681064012448E-2</v>
      </c>
      <c r="E193" s="314">
        <f t="shared" ref="E193:E214" ca="1" si="19">$E$18+($E$30-$E$18)*RAND()</f>
        <v>5.8819279205603058E-2</v>
      </c>
      <c r="F193" s="314">
        <f t="shared" ref="F193:F214" ca="1" si="20">$I$18+($I$30-$I$18)*RAND()</f>
        <v>9.2044760353357152E-2</v>
      </c>
      <c r="G193" s="315">
        <f t="shared" ref="G193:G214" ca="1" si="21">((1+(D193*0.7))*(1+(E193*1))*(1+(F193*0.7)))-1</f>
        <v>0.16927465149650178</v>
      </c>
      <c r="H193" s="316">
        <v>105.87126613570436</v>
      </c>
    </row>
    <row r="194" spans="3:8" ht="15">
      <c r="C194" s="112">
        <v>130</v>
      </c>
      <c r="D194" s="314">
        <f t="shared" ca="1" si="18"/>
        <v>7.2930870409705237E-2</v>
      </c>
      <c r="E194" s="314">
        <f t="shared" ca="1" si="19"/>
        <v>6.0707367383176947E-2</v>
      </c>
      <c r="F194" s="314">
        <f t="shared" ca="1" si="20"/>
        <v>6.4240386911265518E-2</v>
      </c>
      <c r="G194" s="315">
        <f t="shared" ca="1" si="21"/>
        <v>0.16499143030051533</v>
      </c>
      <c r="H194" s="316">
        <v>34.153344914550289</v>
      </c>
    </row>
    <row r="195" spans="3:8" ht="15">
      <c r="C195" s="112">
        <v>131</v>
      </c>
      <c r="D195" s="314">
        <f t="shared" ca="1" si="18"/>
        <v>6.8350807535047201E-2</v>
      </c>
      <c r="E195" s="314">
        <f t="shared" ca="1" si="19"/>
        <v>4.8196968910148005E-2</v>
      </c>
      <c r="F195" s="314">
        <f t="shared" ca="1" si="20"/>
        <v>8.8946937755888772E-2</v>
      </c>
      <c r="G195" s="315">
        <f t="shared" ca="1" si="21"/>
        <v>0.16673486319849928</v>
      </c>
      <c r="H195" s="316">
        <v>62.958362499410327</v>
      </c>
    </row>
    <row r="196" spans="3:8" ht="15">
      <c r="C196" s="112">
        <v>132</v>
      </c>
      <c r="D196" s="314">
        <f t="shared" ca="1" si="18"/>
        <v>4.4934144422163709E-2</v>
      </c>
      <c r="E196" s="314">
        <f t="shared" ca="1" si="19"/>
        <v>5.617767569562717E-2</v>
      </c>
      <c r="F196" s="314">
        <f t="shared" ca="1" si="20"/>
        <v>6.1629937274107746E-2</v>
      </c>
      <c r="G196" s="315">
        <f t="shared" ca="1" si="21"/>
        <v>0.13639628031851014</v>
      </c>
      <c r="H196" s="316">
        <v>48.628101214186387</v>
      </c>
    </row>
    <row r="197" spans="3:8" ht="15">
      <c r="C197" s="112">
        <v>133</v>
      </c>
      <c r="D197" s="314">
        <f t="shared" ca="1" si="18"/>
        <v>6.4676873595048895E-2</v>
      </c>
      <c r="E197" s="314">
        <f t="shared" ca="1" si="19"/>
        <v>6.2559856308496697E-2</v>
      </c>
      <c r="F197" s="314">
        <f t="shared" ca="1" si="20"/>
        <v>6.3827769477067725E-2</v>
      </c>
      <c r="G197" s="315">
        <f t="shared" ca="1" si="21"/>
        <v>0.1602899239543123</v>
      </c>
      <c r="H197" s="316">
        <v>67.820508251013436</v>
      </c>
    </row>
    <row r="198" spans="3:8" ht="15">
      <c r="C198" s="112">
        <v>134</v>
      </c>
      <c r="D198" s="314">
        <f t="shared" ca="1" si="18"/>
        <v>6.3138890024529243E-2</v>
      </c>
      <c r="E198" s="314">
        <f t="shared" ca="1" si="19"/>
        <v>6.3782078997096786E-2</v>
      </c>
      <c r="F198" s="314">
        <f t="shared" ca="1" si="20"/>
        <v>8.4016218278598981E-2</v>
      </c>
      <c r="G198" s="315">
        <f t="shared" ca="1" si="21"/>
        <v>0.17612584306523771</v>
      </c>
      <c r="H198" s="316">
        <v>39.752818336121031</v>
      </c>
    </row>
    <row r="199" spans="3:8" ht="15">
      <c r="C199" s="112">
        <v>135</v>
      </c>
      <c r="D199" s="314">
        <f t="shared" ca="1" si="18"/>
        <v>6.5675376516772771E-2</v>
      </c>
      <c r="E199" s="314">
        <f t="shared" ca="1" si="19"/>
        <v>6.3767793085658678E-2</v>
      </c>
      <c r="F199" s="314">
        <f t="shared" ca="1" si="20"/>
        <v>7.0778020443900191E-2</v>
      </c>
      <c r="G199" s="315">
        <f t="shared" ca="1" si="21"/>
        <v>0.16779905026922837</v>
      </c>
      <c r="H199" s="316">
        <v>46.411377290418649</v>
      </c>
    </row>
    <row r="200" spans="3:8" ht="15">
      <c r="C200" s="112">
        <v>136</v>
      </c>
      <c r="D200" s="314">
        <f t="shared" ca="1" si="18"/>
        <v>5.9423708378601163E-2</v>
      </c>
      <c r="E200" s="314">
        <f t="shared" ca="1" si="19"/>
        <v>5.5844824051014381E-2</v>
      </c>
      <c r="F200" s="314">
        <f t="shared" ca="1" si="20"/>
        <v>0.10197758922481953</v>
      </c>
      <c r="G200" s="315">
        <f t="shared" ca="1" si="21"/>
        <v>0.17827029823155183</v>
      </c>
      <c r="H200" s="316">
        <v>82.690635984437677</v>
      </c>
    </row>
    <row r="201" spans="3:8" ht="15">
      <c r="C201" s="112">
        <v>137</v>
      </c>
      <c r="D201" s="314">
        <f t="shared" ca="1" si="18"/>
        <v>7.3507230936855378E-2</v>
      </c>
      <c r="E201" s="314">
        <f t="shared" ca="1" si="19"/>
        <v>3.9957868799493285E-2</v>
      </c>
      <c r="F201" s="314">
        <f t="shared" ca="1" si="20"/>
        <v>0.10278098691624173</v>
      </c>
      <c r="G201" s="315">
        <f t="shared" ca="1" si="21"/>
        <v>0.17214043863166451</v>
      </c>
      <c r="H201" s="316">
        <v>54.696259017572658</v>
      </c>
    </row>
    <row r="202" spans="3:8" ht="15">
      <c r="C202" s="112">
        <v>138</v>
      </c>
      <c r="D202" s="314">
        <f t="shared" ca="1" si="18"/>
        <v>6.4663347848420663E-2</v>
      </c>
      <c r="E202" s="314">
        <f t="shared" ca="1" si="19"/>
        <v>5.7340690779998954E-2</v>
      </c>
      <c r="F202" s="314">
        <f t="shared" ca="1" si="20"/>
        <v>7.3483419949841935E-2</v>
      </c>
      <c r="G202" s="315">
        <f t="shared" ca="1" si="21"/>
        <v>0.16205026290968516</v>
      </c>
      <c r="H202" s="316">
        <v>46.286944413225676</v>
      </c>
    </row>
    <row r="203" spans="3:8" ht="15">
      <c r="C203" s="112">
        <v>139</v>
      </c>
      <c r="D203" s="314">
        <f t="shared" ca="1" si="18"/>
        <v>6.6712511863870921E-2</v>
      </c>
      <c r="E203" s="314">
        <f t="shared" ca="1" si="19"/>
        <v>6.5803263903371476E-2</v>
      </c>
      <c r="F203" s="314">
        <f t="shared" ca="1" si="20"/>
        <v>9.7699530674822205E-2</v>
      </c>
      <c r="G203" s="315">
        <f t="shared" ca="1" si="21"/>
        <v>0.19186875745810106</v>
      </c>
      <c r="H203" s="316">
        <v>76.260045250491004</v>
      </c>
    </row>
    <row r="204" spans="3:8" ht="15">
      <c r="C204" s="112">
        <v>140</v>
      </c>
      <c r="D204" s="314">
        <f t="shared" ca="1" si="18"/>
        <v>6.1785453241509636E-2</v>
      </c>
      <c r="E204" s="314">
        <f t="shared" ca="1" si="19"/>
        <v>6.3398436877507958E-2</v>
      </c>
      <c r="F204" s="314">
        <f t="shared" ca="1" si="20"/>
        <v>6.4005421326346942E-2</v>
      </c>
      <c r="G204" s="315">
        <f t="shared" ca="1" si="21"/>
        <v>0.15909511709123803</v>
      </c>
      <c r="H204" s="316">
        <v>100.86133933588049</v>
      </c>
    </row>
    <row r="205" spans="3:8" ht="15">
      <c r="C205" s="112">
        <v>141</v>
      </c>
      <c r="D205" s="314">
        <f t="shared" ca="1" si="18"/>
        <v>4.3487000199375202E-2</v>
      </c>
      <c r="E205" s="314">
        <f t="shared" ca="1" si="19"/>
        <v>3.9808513049213685E-2</v>
      </c>
      <c r="F205" s="314">
        <f t="shared" ca="1" si="20"/>
        <v>8.9415554806671918E-2</v>
      </c>
      <c r="G205" s="315">
        <f t="shared" ca="1" si="21"/>
        <v>0.13852492977727082</v>
      </c>
      <c r="H205" s="316">
        <v>53.058205513585023</v>
      </c>
    </row>
    <row r="206" spans="3:8" ht="15">
      <c r="C206" s="112">
        <v>142</v>
      </c>
      <c r="D206" s="314">
        <f t="shared" ca="1" si="18"/>
        <v>7.039663043295781E-2</v>
      </c>
      <c r="E206" s="314">
        <f t="shared" ca="1" si="19"/>
        <v>3.859518909111137E-2</v>
      </c>
      <c r="F206" s="314">
        <f t="shared" ca="1" si="20"/>
        <v>7.2932503866467047E-2</v>
      </c>
      <c r="G206" s="315">
        <f t="shared" ca="1" si="21"/>
        <v>0.14541070906789977</v>
      </c>
      <c r="H206" s="316">
        <v>64.724947807443485</v>
      </c>
    </row>
    <row r="207" spans="3:8" ht="15">
      <c r="C207" s="112">
        <v>143</v>
      </c>
      <c r="D207" s="314">
        <f t="shared" ca="1" si="18"/>
        <v>7.0306892445380104E-2</v>
      </c>
      <c r="E207" s="314">
        <f t="shared" ca="1" si="19"/>
        <v>4.5775678866797981E-2</v>
      </c>
      <c r="F207" s="314">
        <f t="shared" ca="1" si="20"/>
        <v>7.5150775497140512E-2</v>
      </c>
      <c r="G207" s="315">
        <f t="shared" ca="1" si="21"/>
        <v>0.15496442742117433</v>
      </c>
      <c r="H207" s="316">
        <v>69.376285074161189</v>
      </c>
    </row>
    <row r="208" spans="3:8" ht="15">
      <c r="C208" s="112">
        <v>144</v>
      </c>
      <c r="D208" s="314">
        <f t="shared" ca="1" si="18"/>
        <v>5.2675342617104493E-2</v>
      </c>
      <c r="E208" s="314">
        <f t="shared" ca="1" si="19"/>
        <v>5.7033877437356967E-2</v>
      </c>
      <c r="F208" s="314">
        <f t="shared" ca="1" si="20"/>
        <v>6.0919060512666802E-2</v>
      </c>
      <c r="G208" s="315">
        <f t="shared" ca="1" si="21"/>
        <v>0.142747125732128</v>
      </c>
      <c r="H208" s="316">
        <v>77.994181470764246</v>
      </c>
    </row>
    <row r="209" spans="3:8" ht="15">
      <c r="C209" s="112">
        <v>145</v>
      </c>
      <c r="D209" s="314">
        <f t="shared" ca="1" si="18"/>
        <v>7.1545151979493529E-2</v>
      </c>
      <c r="E209" s="314">
        <f t="shared" ca="1" si="19"/>
        <v>5.6877804798671425E-2</v>
      </c>
      <c r="F209" s="314">
        <f t="shared" ca="1" si="20"/>
        <v>8.4178505648829838E-2</v>
      </c>
      <c r="G209" s="315">
        <f t="shared" ca="1" si="21"/>
        <v>0.17520332495654456</v>
      </c>
      <c r="H209" s="316">
        <v>70.777846974073384</v>
      </c>
    </row>
    <row r="210" spans="3:8" ht="15">
      <c r="C210" s="112">
        <v>146</v>
      </c>
      <c r="D210" s="314">
        <f t="shared" ca="1" si="18"/>
        <v>4.2257149713558775E-2</v>
      </c>
      <c r="E210" s="314">
        <f t="shared" ca="1" si="19"/>
        <v>3.9775866724388514E-2</v>
      </c>
      <c r="F210" s="314">
        <f t="shared" ca="1" si="20"/>
        <v>6.6941168986057009E-2</v>
      </c>
      <c r="G210" s="315">
        <f t="shared" ca="1" si="21"/>
        <v>0.12069632701906374</v>
      </c>
      <c r="H210" s="316">
        <v>39.283012870088655</v>
      </c>
    </row>
    <row r="211" spans="3:8" ht="15">
      <c r="C211" s="112">
        <v>147</v>
      </c>
      <c r="D211" s="314">
        <f t="shared" ca="1" si="18"/>
        <v>5.1788596943999413E-2</v>
      </c>
      <c r="E211" s="314">
        <f t="shared" ca="1" si="19"/>
        <v>3.94154121819991E-2</v>
      </c>
      <c r="F211" s="314">
        <f t="shared" ca="1" si="20"/>
        <v>8.4836874936609283E-2</v>
      </c>
      <c r="G211" s="315">
        <f t="shared" ca="1" si="21"/>
        <v>0.14106055822259278</v>
      </c>
      <c r="H211" s="316">
        <v>39.24216909577364</v>
      </c>
    </row>
    <row r="212" spans="3:8" ht="15">
      <c r="C212" s="112">
        <v>148</v>
      </c>
      <c r="D212" s="314">
        <f t="shared" ca="1" si="18"/>
        <v>7.5019899617130847E-2</v>
      </c>
      <c r="E212" s="314">
        <f t="shared" ca="1" si="19"/>
        <v>4.2655415930162588E-2</v>
      </c>
      <c r="F212" s="314">
        <f t="shared" ca="1" si="20"/>
        <v>8.1270379391635894E-2</v>
      </c>
      <c r="G212" s="315">
        <f t="shared" ca="1" si="21"/>
        <v>0.15984016108587995</v>
      </c>
      <c r="H212" s="316">
        <v>70.208216949604534</v>
      </c>
    </row>
    <row r="213" spans="3:8" ht="15">
      <c r="C213" s="112">
        <v>149</v>
      </c>
      <c r="D213" s="314">
        <f t="shared" ca="1" si="18"/>
        <v>4.5212639670331511E-2</v>
      </c>
      <c r="E213" s="314">
        <f t="shared" ca="1" si="19"/>
        <v>4.0189990538966006E-2</v>
      </c>
      <c r="F213" s="314">
        <f t="shared" ca="1" si="20"/>
        <v>9.3852283546045148E-2</v>
      </c>
      <c r="G213" s="315">
        <f t="shared" ca="1" si="21"/>
        <v>0.14361053489682152</v>
      </c>
      <c r="H213" s="316">
        <v>33.498324235608074</v>
      </c>
    </row>
    <row r="214" spans="3:8" ht="15.6" thickBot="1">
      <c r="C214" s="317">
        <v>150</v>
      </c>
      <c r="D214" s="318">
        <f t="shared" ca="1" si="18"/>
        <v>6.8946455781829008E-2</v>
      </c>
      <c r="E214" s="318">
        <f t="shared" ca="1" si="19"/>
        <v>5.4906659808084068E-2</v>
      </c>
      <c r="F214" s="318">
        <f t="shared" ca="1" si="20"/>
        <v>9.7256955979849097E-2</v>
      </c>
      <c r="G214" s="319">
        <f t="shared" ca="1" si="21"/>
        <v>0.18110313309721393</v>
      </c>
      <c r="H214" s="320">
        <v>55.724660688167688</v>
      </c>
    </row>
    <row r="217" spans="3:8" ht="13.8" thickBot="1"/>
    <row r="218" spans="3:8" ht="39.6">
      <c r="C218" s="328" t="s">
        <v>323</v>
      </c>
      <c r="D218" s="328" t="s">
        <v>325</v>
      </c>
      <c r="E218" s="328" t="s">
        <v>326</v>
      </c>
      <c r="F218" s="328" t="s">
        <v>323</v>
      </c>
      <c r="G218" s="328" t="s">
        <v>325</v>
      </c>
      <c r="H218" s="328" t="s">
        <v>326</v>
      </c>
    </row>
    <row r="219" spans="3:8">
      <c r="C219">
        <v>23.629532989134844</v>
      </c>
      <c r="D219">
        <v>2</v>
      </c>
      <c r="E219" s="124">
        <v>1.3333333333333334E-2</v>
      </c>
      <c r="F219">
        <v>54.250209044979798</v>
      </c>
      <c r="G219">
        <v>24</v>
      </c>
      <c r="H219" s="124">
        <v>0.16</v>
      </c>
    </row>
    <row r="220" spans="3:8">
      <c r="C220">
        <v>29.753668200303835</v>
      </c>
      <c r="D220">
        <v>3</v>
      </c>
      <c r="E220" s="124">
        <v>3.3333333333333333E-2</v>
      </c>
      <c r="F220">
        <v>72.622614678486769</v>
      </c>
      <c r="G220">
        <v>22</v>
      </c>
      <c r="H220" s="124">
        <v>0.30666666666666664</v>
      </c>
    </row>
    <row r="221" spans="3:8">
      <c r="C221">
        <v>35.877803411472826</v>
      </c>
      <c r="D221">
        <v>15</v>
      </c>
      <c r="E221" s="124">
        <v>0.13333333333333333</v>
      </c>
      <c r="F221">
        <v>42.001938622641816</v>
      </c>
      <c r="G221">
        <v>19</v>
      </c>
      <c r="H221" s="124">
        <v>0.43333333333333335</v>
      </c>
    </row>
    <row r="222" spans="3:8">
      <c r="C222">
        <v>42.001938622641816</v>
      </c>
      <c r="D222">
        <v>19</v>
      </c>
      <c r="E222" s="124">
        <v>0.26</v>
      </c>
      <c r="F222">
        <v>60.374344256148781</v>
      </c>
      <c r="G222">
        <v>19</v>
      </c>
      <c r="H222" s="124">
        <v>0.56000000000000005</v>
      </c>
    </row>
    <row r="223" spans="3:8">
      <c r="C223">
        <v>48.126073833810807</v>
      </c>
      <c r="D223">
        <v>14</v>
      </c>
      <c r="E223" s="124">
        <v>0.35333333333333333</v>
      </c>
      <c r="F223">
        <v>35.877803411472826</v>
      </c>
      <c r="G223">
        <v>15</v>
      </c>
      <c r="H223" s="124">
        <v>0.66</v>
      </c>
    </row>
    <row r="224" spans="3:8">
      <c r="C224">
        <v>54.250209044979798</v>
      </c>
      <c r="D224">
        <v>24</v>
      </c>
      <c r="E224" s="124">
        <v>0.51333333333333331</v>
      </c>
      <c r="F224">
        <v>48.126073833810807</v>
      </c>
      <c r="G224">
        <v>14</v>
      </c>
      <c r="H224" s="124">
        <v>0.7533333333333333</v>
      </c>
    </row>
    <row r="225" spans="3:8">
      <c r="C225">
        <v>60.374344256148781</v>
      </c>
      <c r="D225">
        <v>19</v>
      </c>
      <c r="E225" s="124">
        <v>0.64</v>
      </c>
      <c r="F225">
        <v>66.498479467317765</v>
      </c>
      <c r="G225">
        <v>11</v>
      </c>
      <c r="H225" s="124">
        <v>0.82666666666666666</v>
      </c>
    </row>
    <row r="226" spans="3:8">
      <c r="C226">
        <v>66.498479467317765</v>
      </c>
      <c r="D226">
        <v>11</v>
      </c>
      <c r="E226" s="124">
        <v>0.71333333333333337</v>
      </c>
      <c r="F226">
        <v>78.746749889655746</v>
      </c>
      <c r="G226">
        <v>9</v>
      </c>
      <c r="H226" s="124">
        <v>0.88666666666666671</v>
      </c>
    </row>
    <row r="227" spans="3:8">
      <c r="C227">
        <v>72.622614678486769</v>
      </c>
      <c r="D227">
        <v>22</v>
      </c>
      <c r="E227" s="124">
        <v>0.86</v>
      </c>
      <c r="F227">
        <v>84.870885100824751</v>
      </c>
      <c r="G227">
        <v>8</v>
      </c>
      <c r="H227" s="124">
        <v>0.94</v>
      </c>
    </row>
    <row r="228" spans="3:8">
      <c r="C228">
        <v>78.746749889655746</v>
      </c>
      <c r="D228">
        <v>9</v>
      </c>
      <c r="E228" s="124">
        <v>0.92</v>
      </c>
      <c r="F228">
        <v>29.753668200303835</v>
      </c>
      <c r="G228">
        <v>3</v>
      </c>
      <c r="H228" s="124">
        <v>0.96</v>
      </c>
    </row>
    <row r="229" spans="3:8">
      <c r="C229">
        <v>84.870885100824751</v>
      </c>
      <c r="D229">
        <v>8</v>
      </c>
      <c r="E229" s="124">
        <v>0.97333333333333338</v>
      </c>
      <c r="F229">
        <v>90.995020311993727</v>
      </c>
      <c r="G229">
        <v>3</v>
      </c>
      <c r="H229" s="124">
        <v>0.98</v>
      </c>
    </row>
    <row r="230" spans="3:8">
      <c r="C230">
        <v>90.995020311993727</v>
      </c>
      <c r="D230">
        <v>3</v>
      </c>
      <c r="E230" s="124">
        <v>0.99333333333333329</v>
      </c>
      <c r="F230">
        <v>23.629532989134844</v>
      </c>
      <c r="G230">
        <v>2</v>
      </c>
      <c r="H230" s="124">
        <v>0.99333333333333329</v>
      </c>
    </row>
    <row r="231" spans="3:8" ht="13.8" thickBot="1">
      <c r="C231" s="271" t="s">
        <v>324</v>
      </c>
      <c r="D231" s="271">
        <v>1</v>
      </c>
      <c r="E231" s="274">
        <v>1</v>
      </c>
      <c r="F231" s="271" t="s">
        <v>324</v>
      </c>
      <c r="G231" s="271">
        <v>1</v>
      </c>
      <c r="H231" s="274">
        <v>1</v>
      </c>
    </row>
  </sheetData>
  <mergeCells count="13">
    <mergeCell ref="B12:C12"/>
    <mergeCell ref="C15:D15"/>
    <mergeCell ref="E15:F15"/>
    <mergeCell ref="I15:J15"/>
    <mergeCell ref="A2:D2"/>
    <mergeCell ref="B15:B16"/>
    <mergeCell ref="G15:H15"/>
    <mergeCell ref="B6:C6"/>
    <mergeCell ref="B7:C7"/>
    <mergeCell ref="B8:C8"/>
    <mergeCell ref="B9:C9"/>
    <mergeCell ref="B10:C10"/>
    <mergeCell ref="B11:C11"/>
  </mergeCells>
  <phoneticPr fontId="0" type="noConversion"/>
  <pageMargins left="0.47" right="0.3" top="0.57999999999999996" bottom="0.44" header="0.2" footer="0.19"/>
  <pageSetup paperSize="9" scale="96" fitToHeight="14" orientation="portrait" horizontalDpi="300" verticalDpi="300" r:id="rId1"/>
  <headerFooter alignWithMargins="0"/>
  <rowBreaks count="1" manualBreakCount="1">
    <brk id="216" max="10"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3:B7"/>
  <sheetViews>
    <sheetView workbookViewId="0">
      <selection activeCell="D10" sqref="D10"/>
    </sheetView>
  </sheetViews>
  <sheetFormatPr defaultRowHeight="13.2"/>
  <cols>
    <col min="2" max="2" width="19.33203125" bestFit="1" customWidth="1"/>
  </cols>
  <sheetData>
    <row r="3" spans="2:2">
      <c r="B3" s="264" t="s">
        <v>328</v>
      </c>
    </row>
    <row r="4" spans="2:2">
      <c r="B4" s="264"/>
    </row>
    <row r="5" spans="2:2">
      <c r="B5" t="s">
        <v>327</v>
      </c>
    </row>
    <row r="6" spans="2:2">
      <c r="B6" t="s">
        <v>329</v>
      </c>
    </row>
    <row r="7" spans="2:2">
      <c r="B7" t="s">
        <v>322</v>
      </c>
    </row>
  </sheetData>
  <phoneticPr fontId="47" type="noConversion"/>
  <pageMargins left="0.78740157499999996" right="0.78740157499999996" top="0.984251969" bottom="0.984251969" header="0.49212598499999999" footer="0.49212598499999999"/>
  <pageSetup paperSize="9" orientation="portrait" horizontalDpi="96" verticalDpi="96"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19</vt:i4>
      </vt:variant>
      <vt:variant>
        <vt:lpstr>Intervalos Nomeados</vt:lpstr>
      </vt:variant>
      <vt:variant>
        <vt:i4>18</vt:i4>
      </vt:variant>
    </vt:vector>
  </HeadingPairs>
  <TitlesOfParts>
    <vt:vector size="37" baseType="lpstr">
      <vt:lpstr>Início</vt:lpstr>
      <vt:lpstr>Capa</vt:lpstr>
      <vt:lpstr>Índice</vt:lpstr>
      <vt:lpstr>1-Introdução</vt:lpstr>
      <vt:lpstr>2-Premissas</vt:lpstr>
      <vt:lpstr>3-Balanço</vt:lpstr>
      <vt:lpstr>4-DRE</vt:lpstr>
      <vt:lpstr>5-FC</vt:lpstr>
      <vt:lpstr>6-Desempenho</vt:lpstr>
      <vt:lpstr>7-Cálculos</vt:lpstr>
      <vt:lpstr>8-Investimentos</vt:lpstr>
      <vt:lpstr>9-Financiamentos</vt:lpstr>
      <vt:lpstr>10-FCLE</vt:lpstr>
      <vt:lpstr>11-FCLA</vt:lpstr>
      <vt:lpstr>12-Analise Relativa</vt:lpstr>
      <vt:lpstr>13-Ciclo</vt:lpstr>
      <vt:lpstr>14-Gráficos</vt:lpstr>
      <vt:lpstr>AS</vt:lpstr>
      <vt:lpstr>Sensibilidade</vt:lpstr>
      <vt:lpstr>'10-FCLE'!Area_de_impressao</vt:lpstr>
      <vt:lpstr>'11-FCLA'!Area_de_impressao</vt:lpstr>
      <vt:lpstr>'12-Analise Relativa'!Area_de_impressao</vt:lpstr>
      <vt:lpstr>'13-Ciclo'!Area_de_impressao</vt:lpstr>
      <vt:lpstr>'1-Introdução'!Area_de_impressao</vt:lpstr>
      <vt:lpstr>'2-Premissas'!Area_de_impressao</vt:lpstr>
      <vt:lpstr>'3-Balanço'!Area_de_impressao</vt:lpstr>
      <vt:lpstr>'4-DRE'!Area_de_impressao</vt:lpstr>
      <vt:lpstr>'5-FC'!Area_de_impressao</vt:lpstr>
      <vt:lpstr>'6-Desempenho'!Area_de_impressao</vt:lpstr>
      <vt:lpstr>'7-Cálculos'!Area_de_impressao</vt:lpstr>
      <vt:lpstr>'8-Investimentos'!Area_de_impressao</vt:lpstr>
      <vt:lpstr>'9-Financiamentos'!Area_de_impressao</vt:lpstr>
      <vt:lpstr>AS!Area_de_impressao</vt:lpstr>
      <vt:lpstr>'3-Balanço'!BALANÇOS_COMPARADOS</vt:lpstr>
      <vt:lpstr>'2-Premissas'!Titulos_de_impressao</vt:lpstr>
      <vt:lpstr>'3-Balanço'!Titulos_de_impressao</vt:lpstr>
      <vt:lpstr>'6-Desempenho'!Titulos_de_impressao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VipMart.com.br</dc:creator>
  <cp:lastModifiedBy>JAIR BOLSONARO</cp:lastModifiedBy>
  <cp:lastPrinted>2013-09-12T14:38:04Z</cp:lastPrinted>
  <dcterms:created xsi:type="dcterms:W3CDTF">2005-04-06T00:19:22Z</dcterms:created>
  <dcterms:modified xsi:type="dcterms:W3CDTF">2024-11-28T17:01:42Z</dcterms:modified>
</cp:coreProperties>
</file>